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0" windowWidth="18195" windowHeight="11040" activeTab="4"/>
  </bookViews>
  <sheets>
    <sheet name="Таблица 1" sheetId="1" r:id="rId1"/>
    <sheet name="Таблица 2" sheetId="6" r:id="rId2"/>
    <sheet name="Таблица 3" sheetId="7" r:id="rId3"/>
    <sheet name="Таблица 4" sheetId="8" r:id="rId4"/>
    <sheet name="Таблица 5" sheetId="5" r:id="rId5"/>
  </sheets>
  <calcPr calcId="114210"/>
</workbook>
</file>

<file path=xl/calcChain.xml><?xml version="1.0" encoding="utf-8"?>
<calcChain xmlns="http://schemas.openxmlformats.org/spreadsheetml/2006/main">
  <c r="D15" i="8"/>
  <c r="D12"/>
  <c r="R12" i="5"/>
  <c r="R13"/>
  <c r="R11"/>
  <c r="P11"/>
  <c r="P12"/>
  <c r="P13"/>
  <c r="G29" i="6"/>
  <c r="H43"/>
  <c r="H49"/>
  <c r="G62"/>
  <c r="F62"/>
  <c r="G57"/>
  <c r="F57"/>
  <c r="G56"/>
  <c r="F56"/>
  <c r="E13"/>
  <c r="D13"/>
  <c r="D10"/>
  <c r="C13"/>
  <c r="C10"/>
  <c r="H12"/>
  <c r="F65"/>
  <c r="G65"/>
  <c r="G16"/>
  <c r="F16"/>
  <c r="H17"/>
  <c r="G17"/>
  <c r="F17"/>
  <c r="H13"/>
  <c r="E10"/>
  <c r="J13"/>
  <c r="G13"/>
  <c r="F13"/>
  <c r="N12" i="5"/>
  <c r="N11"/>
  <c r="M13"/>
  <c r="H12"/>
  <c r="H11"/>
  <c r="F40" i="7"/>
  <c r="E40"/>
  <c r="D40"/>
  <c r="C40"/>
  <c r="I17"/>
  <c r="H17"/>
  <c r="I16"/>
  <c r="H16"/>
  <c r="G16"/>
  <c r="F25"/>
  <c r="F9"/>
  <c r="J13"/>
  <c r="H13"/>
  <c r="J16" i="6"/>
  <c r="J15"/>
  <c r="J12"/>
  <c r="J17"/>
  <c r="F34" i="7"/>
  <c r="E34"/>
  <c r="D34"/>
  <c r="C34"/>
  <c r="D10" i="1"/>
  <c r="N26" i="5"/>
  <c r="O13"/>
  <c r="N13"/>
  <c r="P26"/>
  <c r="Q13"/>
  <c r="L26"/>
  <c r="L12"/>
  <c r="L13"/>
  <c r="D23" i="8"/>
  <c r="D22"/>
  <c r="D21"/>
  <c r="D20"/>
  <c r="D19"/>
  <c r="D18"/>
  <c r="D17"/>
  <c r="D16"/>
  <c r="D14"/>
  <c r="D13"/>
  <c r="D11"/>
  <c r="D10"/>
  <c r="D24"/>
  <c r="D25"/>
  <c r="D26"/>
  <c r="D27"/>
  <c r="B28"/>
  <c r="D28"/>
  <c r="C28"/>
  <c r="C27"/>
  <c r="F27"/>
  <c r="C26"/>
  <c r="C25"/>
  <c r="C24"/>
  <c r="C23"/>
  <c r="C22"/>
  <c r="C21"/>
  <c r="C20"/>
  <c r="C19"/>
  <c r="C18"/>
  <c r="C17"/>
  <c r="C16"/>
  <c r="C15"/>
  <c r="C14"/>
  <c r="C13"/>
  <c r="C12"/>
  <c r="C11"/>
  <c r="C10"/>
  <c r="E27"/>
  <c r="F26"/>
  <c r="F25"/>
  <c r="F24"/>
  <c r="F23"/>
  <c r="F22"/>
  <c r="F21"/>
  <c r="F20"/>
  <c r="F19"/>
  <c r="F18"/>
  <c r="F17"/>
  <c r="F16"/>
  <c r="F15"/>
  <c r="F14"/>
  <c r="F13"/>
  <c r="F12"/>
  <c r="F11"/>
  <c r="E26"/>
  <c r="E25"/>
  <c r="E24"/>
  <c r="E23"/>
  <c r="E22"/>
  <c r="E21"/>
  <c r="E20"/>
  <c r="E19"/>
  <c r="E18"/>
  <c r="E17"/>
  <c r="E16"/>
  <c r="E15"/>
  <c r="E14"/>
  <c r="E13"/>
  <c r="E12"/>
  <c r="E11"/>
  <c r="F10"/>
  <c r="E10"/>
  <c r="E28"/>
  <c r="F29" i="6"/>
  <c r="F32"/>
  <c r="E11" i="1"/>
  <c r="D26" i="5"/>
  <c r="J11"/>
  <c r="J12"/>
  <c r="E9" i="7"/>
  <c r="G24" i="8"/>
  <c r="G20"/>
  <c r="G16"/>
  <c r="G12"/>
  <c r="G10"/>
  <c r="H14"/>
  <c r="G14"/>
  <c r="H18"/>
  <c r="G18"/>
  <c r="H22"/>
  <c r="G22"/>
  <c r="H26"/>
  <c r="G26"/>
  <c r="H11"/>
  <c r="G11"/>
  <c r="H13"/>
  <c r="G13"/>
  <c r="H15"/>
  <c r="G15"/>
  <c r="H17"/>
  <c r="G17"/>
  <c r="H19"/>
  <c r="G19"/>
  <c r="H21"/>
  <c r="G21"/>
  <c r="H23"/>
  <c r="G23"/>
  <c r="H25"/>
  <c r="G25"/>
  <c r="H12"/>
  <c r="H16"/>
  <c r="H20"/>
  <c r="H24"/>
  <c r="H10"/>
  <c r="F22" i="7"/>
  <c r="E22"/>
  <c r="D22"/>
  <c r="C17" i="5"/>
  <c r="G24" i="7"/>
  <c r="D9"/>
  <c r="G13"/>
  <c r="C15" i="5"/>
  <c r="G28" i="8"/>
  <c r="C9" i="7"/>
  <c r="I13"/>
  <c r="G49" i="6"/>
  <c r="G43"/>
  <c r="F43"/>
  <c r="G37"/>
  <c r="F37"/>
  <c r="G40"/>
  <c r="H26"/>
  <c r="G26"/>
  <c r="F26"/>
  <c r="H25"/>
  <c r="G25"/>
  <c r="F25"/>
  <c r="E24"/>
  <c r="D24"/>
  <c r="C24"/>
  <c r="G12"/>
  <c r="F12"/>
  <c r="F49"/>
  <c r="F40"/>
  <c r="H37"/>
  <c r="H22"/>
  <c r="H28" i="8"/>
  <c r="F28"/>
  <c r="L16" i="7"/>
  <c r="M16"/>
  <c r="G53" i="6"/>
  <c r="F53"/>
  <c r="H53"/>
  <c r="D15" i="1"/>
  <c r="D13"/>
  <c r="C34" i="6"/>
  <c r="C19"/>
  <c r="C9" i="1"/>
  <c r="D11"/>
  <c r="F12" i="5"/>
  <c r="F11"/>
  <c r="J26"/>
  <c r="J13"/>
  <c r="H13"/>
  <c r="D12"/>
  <c r="D11"/>
  <c r="C13"/>
  <c r="D13"/>
  <c r="L59" i="7"/>
  <c r="M59"/>
  <c r="L58"/>
  <c r="M58"/>
  <c r="L56"/>
  <c r="M56"/>
  <c r="L55"/>
  <c r="M55"/>
  <c r="L53"/>
  <c r="M53"/>
  <c r="L52"/>
  <c r="M52"/>
  <c r="L51"/>
  <c r="M51"/>
  <c r="L50"/>
  <c r="M50"/>
  <c r="L49"/>
  <c r="M49"/>
  <c r="L47"/>
  <c r="M47"/>
  <c r="L45"/>
  <c r="M45"/>
  <c r="L44"/>
  <c r="M44"/>
  <c r="L43"/>
  <c r="M43"/>
  <c r="L41"/>
  <c r="M41"/>
  <c r="L39"/>
  <c r="M39"/>
  <c r="L37"/>
  <c r="M37"/>
  <c r="L36"/>
  <c r="M36"/>
  <c r="L35"/>
  <c r="M35"/>
  <c r="L33"/>
  <c r="M33"/>
  <c r="L32"/>
  <c r="M32"/>
  <c r="L31"/>
  <c r="M31"/>
  <c r="L30"/>
  <c r="M30"/>
  <c r="L29"/>
  <c r="M29"/>
  <c r="L28"/>
  <c r="M28"/>
  <c r="L27"/>
  <c r="M27"/>
  <c r="L26"/>
  <c r="M26"/>
  <c r="L23"/>
  <c r="M23"/>
  <c r="L21"/>
  <c r="M21"/>
  <c r="L20"/>
  <c r="M20"/>
  <c r="L18"/>
  <c r="M18"/>
  <c r="L17"/>
  <c r="M17"/>
  <c r="L14"/>
  <c r="M14"/>
  <c r="L13"/>
  <c r="M13"/>
  <c r="L12"/>
  <c r="M12"/>
  <c r="L11"/>
  <c r="M11"/>
  <c r="L10"/>
  <c r="M10"/>
  <c r="D59" i="6"/>
  <c r="C59"/>
  <c r="D34"/>
  <c r="H32"/>
  <c r="G32"/>
  <c r="E59"/>
  <c r="K59"/>
  <c r="L59"/>
  <c r="E34"/>
  <c r="F22"/>
  <c r="G22"/>
  <c r="G11"/>
  <c r="K34"/>
  <c r="L34"/>
  <c r="F13" i="1"/>
  <c r="H59" i="7"/>
  <c r="H58"/>
  <c r="H56"/>
  <c r="H55"/>
  <c r="H53"/>
  <c r="H52"/>
  <c r="H51"/>
  <c r="H50"/>
  <c r="H49"/>
  <c r="H47"/>
  <c r="H45"/>
  <c r="H44"/>
  <c r="H43"/>
  <c r="H41"/>
  <c r="H39"/>
  <c r="H37"/>
  <c r="H36"/>
  <c r="H35"/>
  <c r="H33"/>
  <c r="H32"/>
  <c r="H31"/>
  <c r="H30"/>
  <c r="H28"/>
  <c r="H26"/>
  <c r="H23"/>
  <c r="H21"/>
  <c r="H20"/>
  <c r="H18"/>
  <c r="H14"/>
  <c r="H12"/>
  <c r="H11"/>
  <c r="H10"/>
  <c r="F38"/>
  <c r="I18" i="1"/>
  <c r="E38" i="7"/>
  <c r="F18" i="1"/>
  <c r="D38" i="7"/>
  <c r="C20" i="5"/>
  <c r="D18" i="1"/>
  <c r="G17" i="7"/>
  <c r="F57"/>
  <c r="I23" i="1"/>
  <c r="F54" i="7"/>
  <c r="I22" i="1"/>
  <c r="F48" i="7"/>
  <c r="I21" i="1"/>
  <c r="F46" i="7"/>
  <c r="I20" i="1"/>
  <c r="I19"/>
  <c r="I17"/>
  <c r="I15"/>
  <c r="F19" i="7"/>
  <c r="I14" i="1"/>
  <c r="E57" i="7"/>
  <c r="F23" i="1"/>
  <c r="E54" i="7"/>
  <c r="F22" i="1"/>
  <c r="E48" i="7"/>
  <c r="F21" i="1"/>
  <c r="E46" i="7"/>
  <c r="F20" i="1"/>
  <c r="F19"/>
  <c r="E25" i="7"/>
  <c r="F15" i="1"/>
  <c r="E19" i="7"/>
  <c r="F14" i="1"/>
  <c r="D57" i="7"/>
  <c r="C25" i="5"/>
  <c r="D23" i="1"/>
  <c r="D54" i="7"/>
  <c r="C24" i="5"/>
  <c r="D22" i="1"/>
  <c r="D48" i="7"/>
  <c r="C23" i="5"/>
  <c r="D21" i="1"/>
  <c r="D46" i="7"/>
  <c r="C22" i="5"/>
  <c r="C21"/>
  <c r="D19" i="1"/>
  <c r="C19" i="5"/>
  <c r="D25" i="7"/>
  <c r="C18" i="5"/>
  <c r="D16" i="1"/>
  <c r="D19" i="7"/>
  <c r="J59"/>
  <c r="I59"/>
  <c r="G59"/>
  <c r="J58"/>
  <c r="I58"/>
  <c r="G58"/>
  <c r="C57"/>
  <c r="C23" i="1"/>
  <c r="J56" i="7"/>
  <c r="I56"/>
  <c r="G56"/>
  <c r="J55"/>
  <c r="I55"/>
  <c r="G55"/>
  <c r="C54"/>
  <c r="J53"/>
  <c r="I53"/>
  <c r="G53"/>
  <c r="J52"/>
  <c r="I52"/>
  <c r="G52"/>
  <c r="J51"/>
  <c r="I51"/>
  <c r="G51"/>
  <c r="J50"/>
  <c r="I50"/>
  <c r="G50"/>
  <c r="J49"/>
  <c r="I49"/>
  <c r="G49"/>
  <c r="C48"/>
  <c r="C21" i="1"/>
  <c r="J47" i="7"/>
  <c r="I47"/>
  <c r="G47"/>
  <c r="C46"/>
  <c r="C20" i="1"/>
  <c r="O20"/>
  <c r="P20"/>
  <c r="J45" i="7"/>
  <c r="I45"/>
  <c r="G45"/>
  <c r="J44"/>
  <c r="I44"/>
  <c r="G44"/>
  <c r="J43"/>
  <c r="I43"/>
  <c r="G43"/>
  <c r="J41"/>
  <c r="I41"/>
  <c r="G41"/>
  <c r="C19" i="1"/>
  <c r="C38" i="7"/>
  <c r="J39"/>
  <c r="I39"/>
  <c r="G39"/>
  <c r="J37"/>
  <c r="G37"/>
  <c r="J36"/>
  <c r="I36"/>
  <c r="G36"/>
  <c r="J35"/>
  <c r="I35"/>
  <c r="G35"/>
  <c r="C25"/>
  <c r="J31"/>
  <c r="I31"/>
  <c r="G31"/>
  <c r="J30"/>
  <c r="I30"/>
  <c r="G30"/>
  <c r="J33"/>
  <c r="I33"/>
  <c r="G33"/>
  <c r="G32"/>
  <c r="J29"/>
  <c r="J28"/>
  <c r="I28"/>
  <c r="G28"/>
  <c r="J26"/>
  <c r="I26"/>
  <c r="G26"/>
  <c r="J21"/>
  <c r="I21"/>
  <c r="G21"/>
  <c r="J20"/>
  <c r="I20"/>
  <c r="G20"/>
  <c r="C19"/>
  <c r="J23"/>
  <c r="I23"/>
  <c r="G23"/>
  <c r="I22"/>
  <c r="C22"/>
  <c r="C15" i="1"/>
  <c r="C13"/>
  <c r="J18" i="7"/>
  <c r="I18"/>
  <c r="G18"/>
  <c r="J14"/>
  <c r="I14"/>
  <c r="G14"/>
  <c r="J12"/>
  <c r="I12"/>
  <c r="G12"/>
  <c r="J11"/>
  <c r="I11"/>
  <c r="G11"/>
  <c r="I10"/>
  <c r="D20" i="1"/>
  <c r="E22" i="5"/>
  <c r="D17" i="1"/>
  <c r="J38" i="7"/>
  <c r="O15" i="1"/>
  <c r="P15"/>
  <c r="I16"/>
  <c r="F8" i="7"/>
  <c r="C16" i="5"/>
  <c r="D8" i="7"/>
  <c r="O19" i="1"/>
  <c r="P19"/>
  <c r="O23"/>
  <c r="P23"/>
  <c r="F16"/>
  <c r="E8" i="7"/>
  <c r="O21" i="1"/>
  <c r="P21"/>
  <c r="C16"/>
  <c r="O16"/>
  <c r="P16"/>
  <c r="C8" i="7"/>
  <c r="I13" i="1"/>
  <c r="F17"/>
  <c r="K15"/>
  <c r="L15"/>
  <c r="K20"/>
  <c r="L20"/>
  <c r="K22"/>
  <c r="L22"/>
  <c r="K18"/>
  <c r="L18"/>
  <c r="K14"/>
  <c r="L14"/>
  <c r="K19"/>
  <c r="L19"/>
  <c r="K21"/>
  <c r="L21"/>
  <c r="K23"/>
  <c r="L23"/>
  <c r="L38" i="7"/>
  <c r="M38"/>
  <c r="C18" i="1"/>
  <c r="O18"/>
  <c r="P18"/>
  <c r="H54" i="7"/>
  <c r="C22" i="1"/>
  <c r="O22"/>
  <c r="P22"/>
  <c r="H19" i="7"/>
  <c r="C14" i="1"/>
  <c r="O14"/>
  <c r="P14"/>
  <c r="L34" i="7"/>
  <c r="M34"/>
  <c r="C17" i="1"/>
  <c r="J57" i="7"/>
  <c r="L25"/>
  <c r="M25"/>
  <c r="H9"/>
  <c r="L48"/>
  <c r="M48"/>
  <c r="G46"/>
  <c r="L46"/>
  <c r="M46"/>
  <c r="G57"/>
  <c r="L57"/>
  <c r="M57"/>
  <c r="H46"/>
  <c r="H48"/>
  <c r="J46"/>
  <c r="J48"/>
  <c r="I25"/>
  <c r="L40"/>
  <c r="M40"/>
  <c r="I54"/>
  <c r="L54"/>
  <c r="M54"/>
  <c r="I38"/>
  <c r="H40"/>
  <c r="H57"/>
  <c r="H38"/>
  <c r="J34"/>
  <c r="H34"/>
  <c r="H25"/>
  <c r="G22"/>
  <c r="J22"/>
  <c r="L22"/>
  <c r="M22"/>
  <c r="H22"/>
  <c r="J19"/>
  <c r="L19"/>
  <c r="M19"/>
  <c r="J9"/>
  <c r="L9"/>
  <c r="M9"/>
  <c r="J54"/>
  <c r="G54"/>
  <c r="J40"/>
  <c r="I40"/>
  <c r="I34"/>
  <c r="G25"/>
  <c r="G19"/>
  <c r="I48"/>
  <c r="G40"/>
  <c r="G38"/>
  <c r="G34"/>
  <c r="I19"/>
  <c r="I57"/>
  <c r="G48"/>
  <c r="I46"/>
  <c r="J25"/>
  <c r="I9"/>
  <c r="G10"/>
  <c r="J10"/>
  <c r="G9"/>
  <c r="D19" i="6"/>
  <c r="D18"/>
  <c r="E19"/>
  <c r="F9" i="1"/>
  <c r="F64" i="6"/>
  <c r="F63"/>
  <c r="F61"/>
  <c r="F60"/>
  <c r="F52"/>
  <c r="F50"/>
  <c r="F45"/>
  <c r="F39"/>
  <c r="F36"/>
  <c r="F35"/>
  <c r="F33"/>
  <c r="F28"/>
  <c r="F27"/>
  <c r="F24"/>
  <c r="F23"/>
  <c r="F21"/>
  <c r="F20"/>
  <c r="F15"/>
  <c r="F14"/>
  <c r="F11"/>
  <c r="H64"/>
  <c r="G64"/>
  <c r="H63"/>
  <c r="G63"/>
  <c r="H61"/>
  <c r="G61"/>
  <c r="H60"/>
  <c r="G60"/>
  <c r="H52"/>
  <c r="G52"/>
  <c r="H50"/>
  <c r="G50"/>
  <c r="H45"/>
  <c r="G45"/>
  <c r="H39"/>
  <c r="G39"/>
  <c r="H36"/>
  <c r="G36"/>
  <c r="H28"/>
  <c r="G28"/>
  <c r="H27"/>
  <c r="G27"/>
  <c r="H24"/>
  <c r="G24"/>
  <c r="H23"/>
  <c r="G23"/>
  <c r="H21"/>
  <c r="G21"/>
  <c r="H20"/>
  <c r="G20"/>
  <c r="H15"/>
  <c r="G15"/>
  <c r="H14"/>
  <c r="G14"/>
  <c r="H11"/>
  <c r="E48"/>
  <c r="E31"/>
  <c r="D48"/>
  <c r="F34"/>
  <c r="D31"/>
  <c r="C48"/>
  <c r="C31"/>
  <c r="C18"/>
  <c r="C9"/>
  <c r="D8" i="1"/>
  <c r="D12"/>
  <c r="E30" i="6"/>
  <c r="D14" i="1"/>
  <c r="D24"/>
  <c r="C26" i="5"/>
  <c r="C30" i="6"/>
  <c r="F31"/>
  <c r="K16" i="1"/>
  <c r="I24"/>
  <c r="N17"/>
  <c r="L8" i="7"/>
  <c r="M8"/>
  <c r="I11" i="1"/>
  <c r="O11"/>
  <c r="F10"/>
  <c r="F8"/>
  <c r="F24"/>
  <c r="L16"/>
  <c r="K17"/>
  <c r="K13"/>
  <c r="O13"/>
  <c r="P13"/>
  <c r="L13"/>
  <c r="L17"/>
  <c r="K48" i="6"/>
  <c r="L48"/>
  <c r="K31"/>
  <c r="L31"/>
  <c r="J14"/>
  <c r="J11"/>
  <c r="K10"/>
  <c r="L10"/>
  <c r="O17" i="1"/>
  <c r="P17"/>
  <c r="C10"/>
  <c r="C8"/>
  <c r="C24"/>
  <c r="I9"/>
  <c r="H8" i="7"/>
  <c r="D9" i="6"/>
  <c r="D30"/>
  <c r="F11" i="1"/>
  <c r="H31" i="6"/>
  <c r="H10"/>
  <c r="H59"/>
  <c r="F59"/>
  <c r="F48"/>
  <c r="I8" i="7"/>
  <c r="G8"/>
  <c r="J8"/>
  <c r="F19" i="6"/>
  <c r="H19"/>
  <c r="E18"/>
  <c r="G19"/>
  <c r="G10"/>
  <c r="F10"/>
  <c r="G31"/>
  <c r="G59"/>
  <c r="G48"/>
  <c r="H48"/>
  <c r="G34"/>
  <c r="H34"/>
  <c r="M23" i="1"/>
  <c r="M22"/>
  <c r="M21"/>
  <c r="M20"/>
  <c r="M19"/>
  <c r="M18"/>
  <c r="M17"/>
  <c r="M16"/>
  <c r="M15"/>
  <c r="M14"/>
  <c r="M13"/>
  <c r="D8" i="6"/>
  <c r="F12" i="1"/>
  <c r="F25"/>
  <c r="I10"/>
  <c r="Q10"/>
  <c r="E9" i="6"/>
  <c r="H9"/>
  <c r="Q9" i="1"/>
  <c r="K24"/>
  <c r="O24"/>
  <c r="P24"/>
  <c r="F30" i="6"/>
  <c r="M9" i="1"/>
  <c r="K18" i="6"/>
  <c r="L18"/>
  <c r="C11" i="1"/>
  <c r="C12"/>
  <c r="K30" i="6"/>
  <c r="L30"/>
  <c r="K10" i="1"/>
  <c r="K9"/>
  <c r="L9"/>
  <c r="K11"/>
  <c r="L11"/>
  <c r="C8" i="6"/>
  <c r="G30"/>
  <c r="F18"/>
  <c r="G18"/>
  <c r="H18"/>
  <c r="H30"/>
  <c r="J23" i="1"/>
  <c r="J22"/>
  <c r="J21"/>
  <c r="J20"/>
  <c r="J19"/>
  <c r="J18"/>
  <c r="J17"/>
  <c r="J16"/>
  <c r="J15"/>
  <c r="J14"/>
  <c r="J13"/>
  <c r="J11"/>
  <c r="J9"/>
  <c r="R26" i="5"/>
  <c r="H26"/>
  <c r="F26"/>
  <c r="C28"/>
  <c r="E25"/>
  <c r="G25"/>
  <c r="I25"/>
  <c r="K25"/>
  <c r="E24"/>
  <c r="G24"/>
  <c r="I24"/>
  <c r="K24"/>
  <c r="E23"/>
  <c r="G23"/>
  <c r="I23"/>
  <c r="K23"/>
  <c r="G22"/>
  <c r="I22"/>
  <c r="K22"/>
  <c r="E21"/>
  <c r="G21"/>
  <c r="I21"/>
  <c r="K21"/>
  <c r="E20"/>
  <c r="G20"/>
  <c r="I20"/>
  <c r="K20"/>
  <c r="E19"/>
  <c r="E18"/>
  <c r="G18"/>
  <c r="I18"/>
  <c r="K18"/>
  <c r="E17"/>
  <c r="G17"/>
  <c r="I17"/>
  <c r="K17"/>
  <c r="E16"/>
  <c r="G16"/>
  <c r="I16"/>
  <c r="K16"/>
  <c r="E15"/>
  <c r="J10" i="1"/>
  <c r="L10"/>
  <c r="M10"/>
  <c r="I8"/>
  <c r="Q8"/>
  <c r="G19" i="5"/>
  <c r="E26"/>
  <c r="G9" i="6"/>
  <c r="F9"/>
  <c r="M16" i="5"/>
  <c r="O16"/>
  <c r="Q16"/>
  <c r="S16"/>
  <c r="E14" i="1"/>
  <c r="H14"/>
  <c r="M22" i="5"/>
  <c r="O22"/>
  <c r="Q22"/>
  <c r="S22"/>
  <c r="E20" i="1"/>
  <c r="M18" i="5"/>
  <c r="O18"/>
  <c r="Q18"/>
  <c r="S18"/>
  <c r="E16" i="1"/>
  <c r="M20" i="5"/>
  <c r="O20"/>
  <c r="Q20"/>
  <c r="S20"/>
  <c r="E18" i="1"/>
  <c r="H18"/>
  <c r="M24" i="5"/>
  <c r="O24"/>
  <c r="Q24"/>
  <c r="S24"/>
  <c r="E22" i="1"/>
  <c r="G22"/>
  <c r="M17" i="5"/>
  <c r="O17"/>
  <c r="Q17"/>
  <c r="S17"/>
  <c r="E15" i="1"/>
  <c r="M21" i="5"/>
  <c r="O21"/>
  <c r="Q21"/>
  <c r="S21"/>
  <c r="E19" i="1"/>
  <c r="H19"/>
  <c r="M23" i="5"/>
  <c r="O23"/>
  <c r="Q23"/>
  <c r="S23"/>
  <c r="E21" i="1"/>
  <c r="M25" i="5"/>
  <c r="O25"/>
  <c r="Q25"/>
  <c r="S25"/>
  <c r="E23" i="1"/>
  <c r="H23"/>
  <c r="H16"/>
  <c r="H20"/>
  <c r="G15"/>
  <c r="G21"/>
  <c r="L9" i="6"/>
  <c r="G15" i="5"/>
  <c r="G14" i="1"/>
  <c r="E8" i="6"/>
  <c r="M11" i="1"/>
  <c r="J24"/>
  <c r="E13" i="5"/>
  <c r="N22" i="1"/>
  <c r="N19"/>
  <c r="N15"/>
  <c r="N13"/>
  <c r="N20"/>
  <c r="N16"/>
  <c r="N23"/>
  <c r="N21"/>
  <c r="N18"/>
  <c r="N14"/>
  <c r="L24"/>
  <c r="M24"/>
  <c r="C25"/>
  <c r="G19"/>
  <c r="I12"/>
  <c r="L12"/>
  <c r="O8"/>
  <c r="L8"/>
  <c r="M8"/>
  <c r="J8"/>
  <c r="J12"/>
  <c r="J25"/>
  <c r="K8"/>
  <c r="K12"/>
  <c r="I19" i="5"/>
  <c r="G26"/>
  <c r="J30" i="6"/>
  <c r="E70"/>
  <c r="K9"/>
  <c r="K8"/>
  <c r="G20" i="1"/>
  <c r="I15" i="5"/>
  <c r="G23" i="1"/>
  <c r="G16"/>
  <c r="H15"/>
  <c r="G18"/>
  <c r="H22"/>
  <c r="H21"/>
  <c r="F8" i="6"/>
  <c r="J10"/>
  <c r="G8"/>
  <c r="J18"/>
  <c r="H8"/>
  <c r="L11"/>
  <c r="E28" i="5"/>
  <c r="N8" i="1"/>
  <c r="N11"/>
  <c r="I25"/>
  <c r="M12"/>
  <c r="K19" i="5"/>
  <c r="I26"/>
  <c r="K15"/>
  <c r="K25" i="1"/>
  <c r="K26" i="5"/>
  <c r="M19"/>
  <c r="O19"/>
  <c r="M15"/>
  <c r="O15"/>
  <c r="Q15"/>
  <c r="S15"/>
  <c r="E13" i="1"/>
  <c r="H13"/>
  <c r="D25"/>
  <c r="O26" i="5"/>
  <c r="O28"/>
  <c r="Q19"/>
  <c r="M26"/>
  <c r="M28"/>
  <c r="G13" i="1"/>
  <c r="G9"/>
  <c r="H9"/>
  <c r="S19" i="5"/>
  <c r="Q26"/>
  <c r="Q28"/>
  <c r="F13"/>
  <c r="E17" i="1"/>
  <c r="S26" i="5"/>
  <c r="I13"/>
  <c r="I28"/>
  <c r="G13"/>
  <c r="G28"/>
  <c r="E24" i="1"/>
  <c r="H17"/>
  <c r="H24"/>
  <c r="G17"/>
  <c r="G24"/>
  <c r="K13" i="5"/>
  <c r="K28"/>
  <c r="S13"/>
  <c r="S28"/>
  <c r="G11" i="1"/>
  <c r="H11"/>
  <c r="G10"/>
  <c r="H10"/>
  <c r="E8"/>
  <c r="E12"/>
  <c r="H12"/>
  <c r="H25"/>
  <c r="E25"/>
  <c r="G8"/>
  <c r="G12"/>
  <c r="G25"/>
  <c r="H8"/>
</calcChain>
</file>

<file path=xl/sharedStrings.xml><?xml version="1.0" encoding="utf-8"?>
<sst xmlns="http://schemas.openxmlformats.org/spreadsheetml/2006/main" count="356" uniqueCount="259">
  <si>
    <t>Внесение изменений</t>
  </si>
  <si>
    <t xml:space="preserve">Номер и дата решения сессии Совета депутатов Каргатского района </t>
  </si>
  <si>
    <t>Наименование видов доходов, статей расходов</t>
  </si>
  <si>
    <t>(тыс. рублей)</t>
  </si>
  <si>
    <t>ДОХОДЫ</t>
  </si>
  <si>
    <t>№ раздела</t>
  </si>
  <si>
    <t>Итого доходов</t>
  </si>
  <si>
    <t>РАСХОДЫ</t>
  </si>
  <si>
    <t>01</t>
  </si>
  <si>
    <t>02</t>
  </si>
  <si>
    <t>03</t>
  </si>
  <si>
    <t>04</t>
  </si>
  <si>
    <t>05</t>
  </si>
  <si>
    <t>06</t>
  </si>
  <si>
    <t>07</t>
  </si>
  <si>
    <t>08</t>
  </si>
  <si>
    <t>10</t>
  </si>
  <si>
    <t>11</t>
  </si>
  <si>
    <t>14</t>
  </si>
  <si>
    <t>Итого расходов</t>
  </si>
  <si>
    <t>Дефицит</t>
  </si>
  <si>
    <t>Утверж-дённые назначения</t>
  </si>
  <si>
    <t>Сумма изм.</t>
  </si>
  <si>
    <t>Итоговое значение</t>
  </si>
  <si>
    <t>Общегосударственные расходы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</si>
  <si>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</si>
  <si>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</si>
  <si>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</si>
  <si>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</si>
  <si>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</si>
  <si>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</si>
  <si>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Культура, кинематография</t>
  </si>
  <si>
    <t>Физическая культура и спорт</t>
  </si>
  <si>
    <t>Межбюджетные трансферты</t>
  </si>
  <si>
    <t>Безвозмездные поступления</t>
  </si>
  <si>
    <t>Отклонение (гр.5 - гр.4)</t>
  </si>
  <si>
    <t>Отклонение (гр.6 - гр.5)</t>
  </si>
  <si>
    <t>Утверж-дённые бюджетные назначения в отчёте ф. 0503117</t>
  </si>
  <si>
    <t>Доходы - всего, в том числе:</t>
  </si>
  <si>
    <t xml:space="preserve">                    налоговые доходы</t>
  </si>
  <si>
    <t xml:space="preserve">                    неналоговые доходы</t>
  </si>
  <si>
    <t>налоговые и неналоговые доходы, в том числе:</t>
  </si>
  <si>
    <t xml:space="preserve">   налоговые доходы, в том числе:</t>
  </si>
  <si>
    <t xml:space="preserve">   НДФЛ</t>
  </si>
  <si>
    <t xml:space="preserve">   государственная пошлина</t>
  </si>
  <si>
    <t>Наименование видов доходов</t>
  </si>
  <si>
    <t xml:space="preserve">  платежи при пользовании природными ресурсами</t>
  </si>
  <si>
    <t xml:space="preserve">  доходы от продажи материальных и нематериальных активов</t>
  </si>
  <si>
    <t xml:space="preserve">  штрафы, санкции, возмещение ущерба</t>
  </si>
  <si>
    <t xml:space="preserve">  прочие неналоговые доходы</t>
  </si>
  <si>
    <t xml:space="preserve">   неналоговые доходы, в том числе:</t>
  </si>
  <si>
    <t>безвозмездные поступления, в том числе:</t>
  </si>
  <si>
    <t xml:space="preserve">   дотации, в том числе:</t>
  </si>
  <si>
    <t xml:space="preserve">   субсидии, в том числе:</t>
  </si>
  <si>
    <t xml:space="preserve">   субвенции, в том числе:</t>
  </si>
  <si>
    <t xml:space="preserve">   иные межбюджетные трансферты, в том числе:</t>
  </si>
  <si>
    <t xml:space="preserve">   иные межбюджетные трансферты на предоставление субсидий на реализацию мероприятий в рамках программы модернизации здравоохранения в НСО 2011-2012 гг.</t>
  </si>
  <si>
    <t xml:space="preserve">   прочие</t>
  </si>
  <si>
    <t>Расходы - всего, в том числе:</t>
  </si>
  <si>
    <t>№ раздела/подраздела</t>
  </si>
  <si>
    <t>0102</t>
  </si>
  <si>
    <t>0100</t>
  </si>
  <si>
    <t>0103</t>
  </si>
  <si>
    <t>0104</t>
  </si>
  <si>
    <t>0106</t>
  </si>
  <si>
    <t>0113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</si>
  <si>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</si>
  <si>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</si>
  <si>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</si>
  <si>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</si>
  <si>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</si>
  <si>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0200</t>
  </si>
  <si>
    <t>0203</t>
  </si>
  <si>
    <t>0204</t>
  </si>
  <si>
    <t>Национальная оборона, в том числе:</t>
  </si>
  <si>
    <t>Мобилизационная и вневойсковая подготовка</t>
  </si>
  <si>
    <t>Мобилизационная подготовка экономики</t>
  </si>
  <si>
    <t>0300</t>
  </si>
  <si>
    <t>Национальная безопасность и правоохранительная деятельность, в том числе:</t>
  </si>
  <si>
    <t>Общегосударственные вопросы, в том числе: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</si>
  <si>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</si>
  <si>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</si>
  <si>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0400</t>
  </si>
  <si>
    <t>Национальная экономика, в том числе:</t>
  </si>
  <si>
    <t>0401</t>
  </si>
  <si>
    <t>0402</t>
  </si>
  <si>
    <t>0405</t>
  </si>
  <si>
    <t>0406</t>
  </si>
  <si>
    <t>0410</t>
  </si>
  <si>
    <t>0412</t>
  </si>
  <si>
    <t>Общеэкономические вопросы</t>
  </si>
  <si>
    <t>Топливно-энергетический комплекс</t>
  </si>
  <si>
    <t>Сельское хозяйство и рыболовство</t>
  </si>
  <si>
    <t>Водное хозяйство</t>
  </si>
  <si>
    <t>0408</t>
  </si>
  <si>
    <t>Транспорт</t>
  </si>
  <si>
    <t>0409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</si>
  <si>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</si>
  <si>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</si>
  <si>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</si>
  <si>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0500</t>
  </si>
  <si>
    <t>0501</t>
  </si>
  <si>
    <t>0502</t>
  </si>
  <si>
    <t>0503</t>
  </si>
  <si>
    <t>Жилищное хозяйство</t>
  </si>
  <si>
    <t>Коммунальное хозяйство</t>
  </si>
  <si>
    <t>Жилищно-коммунальное хозяйство, в том числе:</t>
  </si>
  <si>
    <t>Благоустройство</t>
  </si>
  <si>
    <t>0600</t>
  </si>
  <si>
    <t>Охрана окружающей среды, в том числе:</t>
  </si>
  <si>
    <t>0603</t>
  </si>
  <si>
    <t>Охрана объектов растительного и животного мира и среды их обитания</t>
  </si>
  <si>
    <t>0700</t>
  </si>
  <si>
    <t>Образование, в том числе: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</si>
  <si>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</si>
  <si>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</si>
  <si>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</si>
  <si>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</si>
  <si>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</si>
  <si>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</si>
  <si>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</si>
  <si>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</si>
  <si>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</si>
  <si>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0801</t>
  </si>
  <si>
    <t>Культура, кинематография, в том числе:</t>
  </si>
  <si>
    <t>Культура</t>
  </si>
  <si>
    <t>Социальная политика, в том числе:</t>
  </si>
  <si>
    <t>1000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</si>
  <si>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</si>
  <si>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</si>
  <si>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</si>
  <si>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</si>
  <si>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</si>
  <si>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</si>
  <si>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</si>
  <si>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Охрана семьи и детства</t>
  </si>
  <si>
    <t>Социальное обеспечение населения</t>
  </si>
  <si>
    <t>Другие вопросы в области социальной политики</t>
  </si>
  <si>
    <t>1100</t>
  </si>
  <si>
    <t>1101</t>
  </si>
  <si>
    <t>1102</t>
  </si>
  <si>
    <t>Физическая культура и спорт, в том числе:</t>
  </si>
  <si>
    <t>Физическая культура</t>
  </si>
  <si>
    <t>Массовый спорт</t>
  </si>
  <si>
    <t>1400</t>
  </si>
  <si>
    <t>1401</t>
  </si>
  <si>
    <t>1403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</si>
  <si>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</si>
  <si>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бюджетам субъектов Российской Федерации и муниципальных образований общего характера, в том числе:</t>
  </si>
  <si>
    <t>Прочие межбюджетные трансферты общего характера</t>
  </si>
  <si>
    <t>0105</t>
  </si>
  <si>
    <t>Судебная система</t>
  </si>
  <si>
    <t>0111</t>
  </si>
  <si>
    <t>Резервные фонды</t>
  </si>
  <si>
    <t>Отклонение (гр.6 - гр.3)</t>
  </si>
  <si>
    <t>Отклонение (гр.9 - гр.4)</t>
  </si>
  <si>
    <t>Отклонение (гр.9 - гр.6)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</si>
  <si>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</si>
  <si>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Отклонение (гр.4 - гр.3)</t>
  </si>
  <si>
    <t xml:space="preserve">   субсидии бюджетам на модернизацию региональных систем общего образования</t>
  </si>
  <si>
    <t xml:space="preserve">   безвозмездные поступления от негосударственных организаций</t>
  </si>
  <si>
    <t>КОСГУ</t>
  </si>
  <si>
    <t>211</t>
  </si>
  <si>
    <t>212</t>
  </si>
  <si>
    <t>213</t>
  </si>
  <si>
    <t>221</t>
  </si>
  <si>
    <t>222</t>
  </si>
  <si>
    <t>223</t>
  </si>
  <si>
    <t>224</t>
  </si>
  <si>
    <t>225</t>
  </si>
  <si>
    <t>226</t>
  </si>
  <si>
    <t>241</t>
  </si>
  <si>
    <t>242</t>
  </si>
  <si>
    <t>251</t>
  </si>
  <si>
    <t>262</t>
  </si>
  <si>
    <t>263</t>
  </si>
  <si>
    <t>290</t>
  </si>
  <si>
    <t>310</t>
  </si>
  <si>
    <t>340</t>
  </si>
  <si>
    <t>(тыс. руб.)</t>
  </si>
  <si>
    <t>Налоговые и неналоговые доходы, в том числе:</t>
  </si>
  <si>
    <t>Национальная безопасность и правоохранительная деятельность</t>
  </si>
  <si>
    <t>Налоговые и неналоговые доходы</t>
  </si>
  <si>
    <t>0107</t>
  </si>
  <si>
    <t>Обеспечение проведения выборов и референдумов</t>
  </si>
  <si>
    <t>Исполнение бюджета за 2014 год</t>
  </si>
  <si>
    <t xml:space="preserve">   акцизы по подакцизным товарам</t>
  </si>
  <si>
    <t>Обеспечение пожарной безопасности</t>
  </si>
  <si>
    <t>0310</t>
  </si>
  <si>
    <t>Отклонение (гр.4 - гр.2)</t>
  </si>
  <si>
    <t>Уточнённые назначения на 2015 год</t>
  </si>
  <si>
    <t>Исполнение бюджета за 2015 год</t>
  </si>
  <si>
    <t>Процент исполнения к плану 2015 года (гр.4/гр.3)</t>
  </si>
  <si>
    <t>Факт 2015 года к факту 2014 года (гр.4/гр.2)</t>
  </si>
  <si>
    <t>Анализ исполнения бюджета Каргатского района за 2015 год по расходам в разрезе КОСГУ</t>
  </si>
  <si>
    <t>Анализ исполнения бюджета Каргатского района за 2015 год</t>
  </si>
  <si>
    <t>Процент исполнения к плану 2015 года (гр.9 / гр.6)</t>
  </si>
  <si>
    <t>Факт 2015 года к факту 2014 года (Гр.9 / гр.3)</t>
  </si>
  <si>
    <t>Анализ исполнения бюджета Каргатского района за 2015 год по доходам</t>
  </si>
  <si>
    <t>Уточ-нённые назначения на 2015 год</t>
  </si>
  <si>
    <t>Анализ исполнения бюджета Каргатского района за 2015 год по расходам</t>
  </si>
  <si>
    <t>Процент исполнения к плану 2015 года (гр.6 / гр.5)</t>
  </si>
  <si>
    <t>Факт 2015 года к факту 2014 года (Гр.6 / гр.3)</t>
  </si>
  <si>
    <t>530</t>
  </si>
  <si>
    <t>№ 424 от 25.12.2014</t>
  </si>
  <si>
    <t>№ 445 от 12.03.2015</t>
  </si>
  <si>
    <t>№ 455 от 17.04.2015</t>
  </si>
  <si>
    <t>№ 461 от 19.06.2015</t>
  </si>
  <si>
    <t>№ 472 от 29.07.2015</t>
  </si>
  <si>
    <t>№ 474 от 03.09.2015</t>
  </si>
  <si>
    <t>№ 12 от 02.11.2015</t>
  </si>
  <si>
    <t>№ 21 от 23.11.2015</t>
  </si>
  <si>
    <t>№ 27 от 24.12.2015</t>
  </si>
  <si>
    <t>Утверж-дённые назначения решением   № 424 от 25.12.2014</t>
  </si>
  <si>
    <t>Уточ-нённые назначения решением   № 27 от 24.12.2015</t>
  </si>
  <si>
    <t xml:space="preserve">   единый налог на вменённый доход</t>
  </si>
  <si>
    <t xml:space="preserve">   единый сельскохозяйственный налог</t>
  </si>
  <si>
    <t xml:space="preserve">   налог (патентная система налогообложения)</t>
  </si>
  <si>
    <t xml:space="preserve">   налоги на совокупный доход:</t>
  </si>
  <si>
    <t xml:space="preserve">   доходы от использования имущества, находящегося в муниципальной собственности:</t>
  </si>
  <si>
    <t xml:space="preserve">  доходы от возмещения расходов и компенсации затрат</t>
  </si>
  <si>
    <t xml:space="preserve">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</si>
  <si>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 от оказания платных услуг (работ) и компенсации затрат:</t>
  </si>
  <si>
    <t xml:space="preserve">  доходы от оказания платных услуг (работ)</t>
  </si>
  <si>
    <t>Анализ изменений, внесённых в решение 33 сессии Совета депутатов Каргатского района от 25.12.2014 № 424 "О бюджете муниципального образования Каргатского района на 2015 год и плановый период 2016 и 2017 годов"</t>
  </si>
  <si>
    <t xml:space="preserve">   дотации бюджетам на выравнивание бюджетной обеспеченности </t>
  </si>
  <si>
    <t xml:space="preserve">   субсидии бюджетам на господдержку малого и среднего предпринимательства, включая крестьянские (фермерские) хозяйства</t>
  </si>
  <si>
    <t xml:space="preserve">   субсидии бюджетам на осуществление дорожной деятельности в отношении автомобильных дорог общего пользования</t>
  </si>
  <si>
    <t xml:space="preserve">   субсидии бюджетам на софинансирование капвложений в объекты муниципальной собственности</t>
  </si>
  <si>
    <t xml:space="preserve">   субсидии бюджетам на создание в общеобразовательных организациях, расположенных в сельской местности, условий для занятий спортом</t>
  </si>
  <si>
    <t xml:space="preserve">   прочие субсидии бюджетам</t>
  </si>
  <si>
    <t xml:space="preserve">   субвенции бюджетам на составление (изменение) списков кандидатов в присяжные заседатели федеральных судов общей юрисдикции в РФ</t>
  </si>
  <si>
    <t xml:space="preserve">   субвенции бюджетам на осуществление первичного воинского учета на территориях, где отсутствуют воинские комиссариаты</t>
  </si>
  <si>
    <t xml:space="preserve">   субвенции бюджетам на выполнение передаваемых полномочий субъектов РФ</t>
  </si>
  <si>
    <t xml:space="preserve">   субвенции бюджетам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</si>
  <si>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субвенции бюджетам на обеспечение жильем отдельных категорий граждан, установленных ФЗ от 12.01.1995 № 5-ФЗ «О ветеранах», в соответствии с Указом Президента РФ от 07.05.2008 № 714 «Об обеспечении жильем ветеранов ВОВ 1941-1945 годов»</t>
  </si>
  <si>
    <t xml:space="preserve">   субвенции бюджетам на обеспечение жильем отдельных категорий граждан, установленных ФЗ от 12.01.1995 № 5-ФЗ «О ветеранах» и от 24.11.95 № 181-ФЗ «О социальной защите инвалидов в РФ"</t>
  </si>
  <si>
    <t xml:space="preserve"> 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</si>
  <si>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</si>
  <si>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межбюджетные трансферты, передаваемые бюджетам на комплектование книжных фондов библиотек муниципальных образований</t>
  </si>
  <si>
    <t xml:space="preserve">   прочие межбюджетные трансферты, передаваемые бюджетам</t>
  </si>
  <si>
    <t xml:space="preserve">   доходы бюджетов от возврата МБТ прошлых лет из бюджетов поселений</t>
  </si>
  <si>
    <t xml:space="preserve">   Возврат остатков субсидий, субвенций и иных межбюджетных трансфертов, имеющих целевое назначение, прошлых лет из бюджетов</t>
  </si>
  <si>
    <t xml:space="preserve">   субсидии бюджетам на обеспечение мероприятий по модернизации систем коммунальной инфраструктуры</t>
  </si>
  <si>
    <t xml:space="preserve">   прочие безвозмездные поступления в бюджеты</t>
  </si>
  <si>
    <t xml:space="preserve">   дотации бюджетам на поддержку мер по обеспечению сбалансированности бюджетов</t>
  </si>
  <si>
    <t xml:space="preserve">   субсидии бюджетам на обеспечение жильем молодых семей</t>
  </si>
  <si>
    <t xml:space="preserve">   субсидии бюджетам на реализацию федеральных целевых программ</t>
  </si>
  <si>
    <t xml:space="preserve">   субсидии бюджетам на осуществление мероприятий по обеспечению жильём граждан РФ, проживающих в сельской местности</t>
  </si>
  <si>
    <t xml:space="preserve">   субсидии бюджетам на государственную модернизацию систем общего образования</t>
  </si>
  <si>
    <t xml:space="preserve">   субвенции бюджетам на ежемесячное денежное вознаграждение за классное руководство</t>
  </si>
  <si>
    <t xml:space="preserve">   субвенции  бюджетам на содержание ребенка в семье опекуна и приемной семье, а также вознаграждение, причитающееся приемному родителю</t>
  </si>
  <si>
    <t xml:space="preserve">   субвенции бюджетам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</si>
  <si>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 xml:space="preserve">   прочие субвенции бюджетам</t>
  </si>
  <si>
    <t>Приложение № 1</t>
  </si>
  <si>
    <t>Приложение № 2</t>
  </si>
  <si>
    <t>Приложение № 3</t>
  </si>
  <si>
    <t>Приложение № 4</t>
  </si>
  <si>
    <t>Приложение № 5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</si>
</sst>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%"/>
  </numFmts>
  <fonts count="4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i/>
      <sz val="11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sz val="11.5"/>
      <color indexed="8"/>
      <name val="Calibri"/>
      <family val="2"/>
      <charset val="204"/>
    </font>
    <font>
      <b/>
      <sz val="11.5"/>
      <color indexed="8"/>
      <name val="Times New Roman"/>
      <family val="1"/>
      <charset val="204"/>
    </font>
    <font>
      <b/>
      <sz val="11.5"/>
      <color indexed="8"/>
      <name val="Calibri"/>
      <family val="2"/>
      <charset val="204"/>
    </font>
    <font>
      <sz val="11.5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</font>
    <font>
      <b/>
      <sz val="11"/>
      <name val="Calibri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name val="Calibri"/>
      <family val="2"/>
      <charset val="204"/>
    </font>
    <font>
      <sz val="12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165" fontId="10" fillId="0" borderId="1" xfId="1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/>
    <xf numFmtId="0" fontId="13" fillId="0" borderId="1" xfId="0" applyFont="1" applyBorder="1" applyAlignment="1">
      <alignment vertical="center" wrapText="1"/>
    </xf>
    <xf numFmtId="0" fontId="14" fillId="0" borderId="0" xfId="0" applyFont="1"/>
    <xf numFmtId="0" fontId="11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0" xfId="0" applyFont="1"/>
    <xf numFmtId="49" fontId="10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righ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/>
    <xf numFmtId="0" fontId="5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vertical="center" wrapText="1"/>
    </xf>
    <xf numFmtId="165" fontId="2" fillId="0" borderId="0" xfId="1" applyNumberFormat="1" applyFont="1" applyAlignment="1">
      <alignment vertical="center" wrapText="1"/>
    </xf>
    <xf numFmtId="165" fontId="10" fillId="0" borderId="0" xfId="1" applyNumberFormat="1" applyFont="1" applyAlignment="1">
      <alignment vertical="center" wrapText="1"/>
    </xf>
    <xf numFmtId="2" fontId="10" fillId="0" borderId="0" xfId="2" applyNumberFormat="1" applyFont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165" fontId="5" fillId="0" borderId="0" xfId="1" applyNumberFormat="1" applyFont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 indent="1"/>
    </xf>
    <xf numFmtId="164" fontId="5" fillId="0" borderId="1" xfId="0" applyNumberFormat="1" applyFont="1" applyBorder="1" applyAlignment="1">
      <alignment horizontal="right" vertical="center" indent="1"/>
    </xf>
    <xf numFmtId="165" fontId="2" fillId="0" borderId="1" xfId="1" applyNumberFormat="1" applyFont="1" applyBorder="1" applyAlignment="1">
      <alignment horizontal="right" vertical="center" wrapText="1" indent="1"/>
    </xf>
    <xf numFmtId="165" fontId="5" fillId="0" borderId="1" xfId="1" applyNumberFormat="1" applyFont="1" applyBorder="1" applyAlignment="1">
      <alignment horizontal="right" vertical="center" wrapText="1" indent="1"/>
    </xf>
    <xf numFmtId="164" fontId="19" fillId="0" borderId="1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 indent="1"/>
    </xf>
    <xf numFmtId="165" fontId="0" fillId="0" borderId="0" xfId="1" applyNumberFormat="1" applyFont="1"/>
    <xf numFmtId="165" fontId="1" fillId="0" borderId="0" xfId="1" applyNumberFormat="1" applyFont="1"/>
    <xf numFmtId="0" fontId="2" fillId="0" borderId="0" xfId="0" applyFont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5" fontId="4" fillId="0" borderId="0" xfId="1" applyNumberFormat="1" applyFont="1" applyAlignment="1">
      <alignment horizontal="left"/>
    </xf>
    <xf numFmtId="0" fontId="20" fillId="0" borderId="1" xfId="0" applyFont="1" applyBorder="1" applyAlignment="1">
      <alignment vertical="center" wrapText="1"/>
    </xf>
    <xf numFmtId="164" fontId="20" fillId="0" borderId="1" xfId="0" applyNumberFormat="1" applyFont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/>
    <xf numFmtId="0" fontId="22" fillId="0" borderId="1" xfId="0" applyFont="1" applyBorder="1" applyAlignment="1">
      <alignment vertical="center" wrapText="1"/>
    </xf>
    <xf numFmtId="164" fontId="22" fillId="0" borderId="1" xfId="0" applyNumberFormat="1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164" fontId="22" fillId="0" borderId="0" xfId="0" applyNumberFormat="1" applyFont="1" applyAlignment="1">
      <alignment vertical="center" wrapText="1"/>
    </xf>
    <xf numFmtId="0" fontId="23" fillId="0" borderId="0" xfId="0" applyFont="1"/>
    <xf numFmtId="49" fontId="20" fillId="0" borderId="1" xfId="0" applyNumberFormat="1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right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right" vertical="center" wrapText="1"/>
    </xf>
    <xf numFmtId="164" fontId="26" fillId="0" borderId="1" xfId="0" applyNumberFormat="1" applyFont="1" applyBorder="1" applyAlignment="1">
      <alignment vertical="center" wrapText="1"/>
    </xf>
    <xf numFmtId="164" fontId="27" fillId="0" borderId="1" xfId="0" applyNumberFormat="1" applyFont="1" applyBorder="1" applyAlignment="1">
      <alignment horizontal="right" vertical="center" wrapText="1"/>
    </xf>
    <xf numFmtId="49" fontId="15" fillId="0" borderId="1" xfId="0" applyNumberFormat="1" applyFont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0" fontId="28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1" fillId="0" borderId="0" xfId="0" applyFont="1"/>
    <xf numFmtId="0" fontId="32" fillId="0" borderId="2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/>
    </xf>
    <xf numFmtId="11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4" fontId="29" fillId="0" borderId="1" xfId="0" applyNumberFormat="1" applyFont="1" applyBorder="1" applyAlignment="1">
      <alignment vertical="center" wrapText="1"/>
    </xf>
    <xf numFmtId="164" fontId="29" fillId="0" borderId="1" xfId="0" applyNumberFormat="1" applyFont="1" applyBorder="1" applyAlignment="1">
      <alignment horizontal="right" vertical="center" wrapText="1"/>
    </xf>
    <xf numFmtId="165" fontId="29" fillId="0" borderId="1" xfId="1" applyNumberFormat="1" applyFont="1" applyBorder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165" fontId="9" fillId="0" borderId="0" xfId="1" applyNumberFormat="1" applyFont="1" applyAlignment="1">
      <alignment vertical="center" wrapText="1"/>
    </xf>
    <xf numFmtId="0" fontId="34" fillId="0" borderId="0" xfId="0" applyFont="1"/>
    <xf numFmtId="49" fontId="35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164" fontId="35" fillId="0" borderId="1" xfId="0" applyNumberFormat="1" applyFont="1" applyBorder="1" applyAlignment="1">
      <alignment horizontal="right" vertical="center" wrapText="1"/>
    </xf>
    <xf numFmtId="165" fontId="35" fillId="0" borderId="1" xfId="1" applyNumberFormat="1" applyFont="1" applyBorder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164" fontId="36" fillId="0" borderId="0" xfId="0" applyNumberFormat="1" applyFont="1" applyAlignment="1">
      <alignment vertical="center" wrapText="1"/>
    </xf>
    <xf numFmtId="165" fontId="36" fillId="0" borderId="0" xfId="1" applyNumberFormat="1" applyFont="1" applyAlignment="1">
      <alignment vertical="center" wrapText="1"/>
    </xf>
    <xf numFmtId="0" fontId="37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5" fontId="9" fillId="0" borderId="1" xfId="1" applyNumberFormat="1" applyFont="1" applyBorder="1" applyAlignment="1">
      <alignment horizontal="right" vertical="center" wrapText="1"/>
    </xf>
    <xf numFmtId="0" fontId="38" fillId="0" borderId="0" xfId="0" applyFont="1"/>
    <xf numFmtId="49" fontId="9" fillId="0" borderId="5" xfId="0" applyNumberFormat="1" applyFont="1" applyBorder="1" applyAlignment="1">
      <alignment horizontal="center" vertical="center" wrapText="1"/>
    </xf>
    <xf numFmtId="164" fontId="39" fillId="0" borderId="0" xfId="0" applyNumberFormat="1" applyFont="1" applyAlignment="1">
      <alignment vertical="center" wrapText="1"/>
    </xf>
    <xf numFmtId="165" fontId="35" fillId="0" borderId="0" xfId="1" applyNumberFormat="1" applyFont="1" applyAlignment="1">
      <alignment vertical="center" wrapText="1"/>
    </xf>
    <xf numFmtId="165" fontId="37" fillId="0" borderId="0" xfId="1" applyNumberFormat="1" applyFont="1"/>
    <xf numFmtId="0" fontId="39" fillId="0" borderId="1" xfId="0" applyFont="1" applyBorder="1" applyAlignment="1">
      <alignment vertical="center" wrapText="1"/>
    </xf>
    <xf numFmtId="164" fontId="39" fillId="0" borderId="1" xfId="0" applyNumberFormat="1" applyFont="1" applyBorder="1" applyAlignment="1">
      <alignment horizontal="right" vertical="center" wrapText="1"/>
    </xf>
    <xf numFmtId="165" fontId="39" fillId="0" borderId="1" xfId="1" applyNumberFormat="1" applyFont="1" applyBorder="1" applyAlignment="1">
      <alignment horizontal="right" vertical="center" wrapText="1"/>
    </xf>
    <xf numFmtId="0" fontId="39" fillId="0" borderId="0" xfId="0" applyFont="1" applyAlignment="1">
      <alignment vertical="center" wrapText="1"/>
    </xf>
    <xf numFmtId="165" fontId="39" fillId="0" borderId="0" xfId="1" applyNumberFormat="1" applyFont="1" applyAlignment="1">
      <alignment vertical="center" wrapText="1"/>
    </xf>
    <xf numFmtId="165" fontId="34" fillId="0" borderId="0" xfId="1" applyNumberFormat="1" applyFont="1"/>
    <xf numFmtId="0" fontId="19" fillId="0" borderId="1" xfId="0" applyFont="1" applyBorder="1" applyAlignment="1">
      <alignment vertical="center" wrapText="1"/>
    </xf>
    <xf numFmtId="165" fontId="19" fillId="0" borderId="1" xfId="1" applyNumberFormat="1" applyFont="1" applyBorder="1" applyAlignment="1">
      <alignment horizontal="right" vertical="center" wrapText="1"/>
    </xf>
    <xf numFmtId="165" fontId="19" fillId="0" borderId="0" xfId="1" applyNumberFormat="1" applyFont="1" applyAlignment="1">
      <alignment vertical="center" wrapText="1"/>
    </xf>
    <xf numFmtId="164" fontId="19" fillId="0" borderId="0" xfId="0" applyNumberFormat="1" applyFont="1" applyAlignment="1">
      <alignment vertical="center" wrapText="1"/>
    </xf>
    <xf numFmtId="165" fontId="40" fillId="0" borderId="0" xfId="1" applyNumberFormat="1" applyFont="1"/>
    <xf numFmtId="0" fontId="40" fillId="0" borderId="0" xfId="0" applyFont="1"/>
    <xf numFmtId="0" fontId="19" fillId="0" borderId="0" xfId="0" applyFont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65" fontId="17" fillId="0" borderId="1" xfId="1" applyNumberFormat="1" applyFont="1" applyBorder="1" applyAlignment="1">
      <alignment horizontal="right" vertical="center" wrapText="1"/>
    </xf>
    <xf numFmtId="165" fontId="17" fillId="0" borderId="0" xfId="1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vertical="top" wrapText="1"/>
    </xf>
    <xf numFmtId="164" fontId="35" fillId="0" borderId="0" xfId="0" applyNumberFormat="1" applyFont="1" applyAlignment="1">
      <alignment vertical="center" wrapText="1"/>
    </xf>
    <xf numFmtId="0" fontId="19" fillId="0" borderId="1" xfId="0" applyFont="1" applyBorder="1" applyAlignment="1">
      <alignment vertical="top" wrapText="1"/>
    </xf>
    <xf numFmtId="164" fontId="19" fillId="0" borderId="1" xfId="0" applyNumberFormat="1" applyFont="1" applyBorder="1" applyAlignment="1">
      <alignment horizontal="right" vertical="top" wrapText="1"/>
    </xf>
    <xf numFmtId="165" fontId="19" fillId="0" borderId="1" xfId="1" applyNumberFormat="1" applyFont="1" applyBorder="1" applyAlignment="1">
      <alignment horizontal="right" vertical="top" wrapText="1"/>
    </xf>
    <xf numFmtId="0" fontId="19" fillId="0" borderId="0" xfId="0" applyFont="1" applyAlignment="1">
      <alignment vertical="top" wrapText="1"/>
    </xf>
    <xf numFmtId="0" fontId="40" fillId="0" borderId="0" xfId="0" applyFont="1" applyAlignment="1">
      <alignment vertical="top"/>
    </xf>
    <xf numFmtId="0" fontId="3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"/>
  <sheetViews>
    <sheetView zoomScale="90" zoomScaleNormal="90" workbookViewId="0">
      <selection activeCell="K1" sqref="K1:M1"/>
    </sheetView>
  </sheetViews>
  <sheetFormatPr defaultRowHeight="15"/>
  <cols>
    <col min="1" max="1" width="5.7109375" customWidth="1"/>
    <col min="2" max="2" width="35.7109375" customWidth="1"/>
    <col min="3" max="5" width="10.7109375" customWidth="1"/>
    <col min="6" max="6" width="11.28515625" customWidth="1"/>
    <col min="7" max="12" width="10.7109375" customWidth="1"/>
    <col min="13" max="13" width="10.28515625" customWidth="1"/>
    <col min="14" max="14" width="8.42578125" hidden="1" customWidth="1"/>
    <col min="15" max="15" width="10.28515625" hidden="1" customWidth="1"/>
    <col min="16" max="16" width="8.42578125" hidden="1" customWidth="1"/>
    <col min="17" max="17" width="6.85546875" hidden="1" customWidth="1"/>
  </cols>
  <sheetData>
    <row r="1" spans="1:17" ht="15.75">
      <c r="A1" s="1"/>
      <c r="B1" s="1"/>
      <c r="C1" s="1"/>
      <c r="D1" s="1"/>
      <c r="E1" s="1"/>
      <c r="F1" s="1"/>
      <c r="G1" s="1"/>
      <c r="H1" s="1"/>
      <c r="I1" s="1"/>
      <c r="J1" s="1"/>
      <c r="K1" s="138" t="s">
        <v>254</v>
      </c>
      <c r="L1" s="138"/>
      <c r="M1" s="138"/>
      <c r="N1" s="1"/>
      <c r="O1" s="1"/>
      <c r="P1" s="1"/>
    </row>
    <row r="2" spans="1:17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22.5" customHeight="1">
      <c r="A3" s="139" t="s">
        <v>195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"/>
      <c r="O3" s="1"/>
      <c r="P3" s="1"/>
    </row>
    <row r="4" spans="1:17" ht="9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s="3" customFormat="1" ht="24.9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137" t="s">
        <v>179</v>
      </c>
      <c r="L5" s="137"/>
      <c r="M5" s="137"/>
      <c r="N5" s="2"/>
      <c r="O5" s="2"/>
      <c r="P5" s="2"/>
    </row>
    <row r="6" spans="1:17" s="17" customFormat="1" ht="80.099999999999994" customHeight="1">
      <c r="A6" s="19" t="s">
        <v>5</v>
      </c>
      <c r="B6" s="19" t="s">
        <v>2</v>
      </c>
      <c r="C6" s="19" t="s">
        <v>185</v>
      </c>
      <c r="D6" s="19" t="s">
        <v>213</v>
      </c>
      <c r="E6" s="19" t="s">
        <v>214</v>
      </c>
      <c r="F6" s="19" t="s">
        <v>37</v>
      </c>
      <c r="G6" s="18" t="s">
        <v>35</v>
      </c>
      <c r="H6" s="18" t="s">
        <v>36</v>
      </c>
      <c r="I6" s="19" t="s">
        <v>191</v>
      </c>
      <c r="J6" s="18" t="s">
        <v>155</v>
      </c>
      <c r="K6" s="18" t="s">
        <v>156</v>
      </c>
      <c r="L6" s="18" t="s">
        <v>196</v>
      </c>
      <c r="M6" s="18" t="s">
        <v>197</v>
      </c>
      <c r="N6" s="16"/>
      <c r="O6" s="16"/>
      <c r="P6" s="16"/>
    </row>
    <row r="7" spans="1:17" s="17" customFormat="1" ht="15" customHeight="1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6"/>
      <c r="O7" s="16"/>
      <c r="P7" s="16"/>
    </row>
    <row r="8" spans="1:17" ht="30" customHeight="1">
      <c r="A8" s="8"/>
      <c r="B8" s="8" t="s">
        <v>180</v>
      </c>
      <c r="C8" s="13">
        <f>C9+C10+0.1</f>
        <v>59824.799999999996</v>
      </c>
      <c r="D8" s="13">
        <f>D9+D10</f>
        <v>43070.400000000001</v>
      </c>
      <c r="E8" s="13">
        <f>E9+E10</f>
        <v>44747.6</v>
      </c>
      <c r="F8" s="13">
        <f>F9+F10</f>
        <v>44747.6</v>
      </c>
      <c r="G8" s="13">
        <f>E8-D8</f>
        <v>1677.1999999999971</v>
      </c>
      <c r="H8" s="13">
        <f>F8-E8</f>
        <v>0</v>
      </c>
      <c r="I8" s="13">
        <f>I9+I10</f>
        <v>45480.100000000006</v>
      </c>
      <c r="J8" s="13">
        <f>I8-D8</f>
        <v>2409.7000000000044</v>
      </c>
      <c r="K8" s="13">
        <f>I8-F8</f>
        <v>732.50000000000728</v>
      </c>
      <c r="L8" s="23">
        <f>I8/F8</f>
        <v>1.0163695930061054</v>
      </c>
      <c r="M8" s="23">
        <f>I8/C8</f>
        <v>0.76022151348604605</v>
      </c>
      <c r="N8" s="43">
        <f>I8/I12</f>
        <v>6.4326204992794442E-2</v>
      </c>
      <c r="O8" s="43">
        <f>I8/D8</f>
        <v>1.0559479364017981</v>
      </c>
      <c r="P8" s="1"/>
      <c r="Q8" s="60">
        <f>I8/D8</f>
        <v>1.0559479364017981</v>
      </c>
    </row>
    <row r="9" spans="1:17" s="28" customFormat="1" ht="20.100000000000001" customHeight="1">
      <c r="A9" s="25"/>
      <c r="B9" s="25" t="s">
        <v>39</v>
      </c>
      <c r="C9" s="21">
        <f ca="1">'Таблица 2'!C10</f>
        <v>46318.2</v>
      </c>
      <c r="D9" s="21">
        <v>30982.9</v>
      </c>
      <c r="E9" s="21">
        <v>30983</v>
      </c>
      <c r="F9" s="21">
        <f ca="1">'Таблица 2'!D10</f>
        <v>32043</v>
      </c>
      <c r="G9" s="21">
        <f ca="1">E9-D9</f>
        <v>9.9999999998544808E-2</v>
      </c>
      <c r="H9" s="21">
        <f ca="1">F9-E9</f>
        <v>1060</v>
      </c>
      <c r="I9" s="21">
        <f ca="1">'Таблица 2'!E10</f>
        <v>31064.800000000003</v>
      </c>
      <c r="J9" s="21">
        <f>I9-D9</f>
        <v>81.900000000001455</v>
      </c>
      <c r="K9" s="21">
        <f>I9-F9</f>
        <v>-978.19999999999709</v>
      </c>
      <c r="L9" s="26">
        <f t="shared" ref="L9:L24" si="0">I9/F9</f>
        <v>0.96947227163499061</v>
      </c>
      <c r="M9" s="26">
        <f>I9/C9</f>
        <v>0.67068236675863924</v>
      </c>
      <c r="N9" s="27"/>
      <c r="O9" s="45"/>
      <c r="P9" s="27"/>
      <c r="Q9" s="60">
        <f>I9/D9</f>
        <v>1.0026433936138968</v>
      </c>
    </row>
    <row r="10" spans="1:17" s="28" customFormat="1" ht="20.100000000000001" customHeight="1">
      <c r="A10" s="25"/>
      <c r="B10" s="25" t="s">
        <v>40</v>
      </c>
      <c r="C10" s="21">
        <f ca="1">'Таблица 2'!C18</f>
        <v>13506.499999999998</v>
      </c>
      <c r="D10" s="21">
        <f ca="1">'Таблица 5'!C11-'Таблица 1'!D9</f>
        <v>12087.5</v>
      </c>
      <c r="E10" s="21">
        <v>13764.6</v>
      </c>
      <c r="F10" s="21">
        <f ca="1">'Таблица 2'!D18</f>
        <v>12704.599999999999</v>
      </c>
      <c r="G10" s="21">
        <f ca="1">E10-D10</f>
        <v>1677.1000000000004</v>
      </c>
      <c r="H10" s="21">
        <f t="shared" ref="H10:H23" si="1">F10-E10</f>
        <v>-1060.0000000000018</v>
      </c>
      <c r="I10" s="21">
        <f ca="1">'Таблица 2'!E18</f>
        <v>14415.3</v>
      </c>
      <c r="J10" s="21">
        <f>I10-D10</f>
        <v>2327.7999999999993</v>
      </c>
      <c r="K10" s="21">
        <f>I10-F10</f>
        <v>1710.7000000000007</v>
      </c>
      <c r="L10" s="26">
        <f t="shared" si="0"/>
        <v>1.1346520158052988</v>
      </c>
      <c r="M10" s="26">
        <f t="shared" ref="M10:M24" si="2">I10/C10</f>
        <v>1.067286121497057</v>
      </c>
      <c r="N10" s="27"/>
      <c r="O10" s="44"/>
      <c r="P10" s="27"/>
      <c r="Q10" s="60">
        <f>I10/D10</f>
        <v>1.1925791106514994</v>
      </c>
    </row>
    <row r="11" spans="1:17" ht="20.100000000000001" customHeight="1">
      <c r="A11" s="8"/>
      <c r="B11" s="8" t="s">
        <v>34</v>
      </c>
      <c r="C11" s="13">
        <f ca="1">'Таблица 2'!C30</f>
        <v>602775.79999999993</v>
      </c>
      <c r="D11" s="13">
        <f ca="1">'Таблица 5'!C12</f>
        <v>657955</v>
      </c>
      <c r="E11" s="13">
        <f ca="1">'Таблица 5'!S12</f>
        <v>679198.4</v>
      </c>
      <c r="F11" s="13">
        <f ca="1">'Таблица 2'!D30</f>
        <v>679198.4</v>
      </c>
      <c r="G11" s="13">
        <f ca="1">E11-D11</f>
        <v>21243.400000000023</v>
      </c>
      <c r="H11" s="13">
        <f t="shared" si="1"/>
        <v>0</v>
      </c>
      <c r="I11" s="13">
        <f ca="1">'Таблица 2'!E30</f>
        <v>661542.80000000005</v>
      </c>
      <c r="J11" s="13">
        <f>I11-D11</f>
        <v>3587.8000000000466</v>
      </c>
      <c r="K11" s="13">
        <f>I11-F11</f>
        <v>-17655.599999999977</v>
      </c>
      <c r="L11" s="23">
        <f t="shared" si="0"/>
        <v>0.97400523911717107</v>
      </c>
      <c r="M11" s="23">
        <f t="shared" si="2"/>
        <v>1.0974939604410132</v>
      </c>
      <c r="N11" s="43">
        <f>I12/D12</f>
        <v>1.0085553248141936</v>
      </c>
      <c r="O11" s="43">
        <f>I11/D11</f>
        <v>1.0054529565091839</v>
      </c>
      <c r="P11" s="1"/>
      <c r="Q11" s="55"/>
    </row>
    <row r="12" spans="1:17" s="6" customFormat="1" ht="20.100000000000001" customHeight="1">
      <c r="A12" s="9"/>
      <c r="B12" s="9" t="s">
        <v>6</v>
      </c>
      <c r="C12" s="10">
        <f>C8+C11</f>
        <v>662600.6</v>
      </c>
      <c r="D12" s="10">
        <f ca="1">D8+D11</f>
        <v>701025.4</v>
      </c>
      <c r="E12" s="10">
        <f ca="1">E8+E11</f>
        <v>723946</v>
      </c>
      <c r="F12" s="10">
        <f>F8+F11</f>
        <v>723946</v>
      </c>
      <c r="G12" s="10">
        <f>G8+G11</f>
        <v>22920.60000000002</v>
      </c>
      <c r="H12" s="22">
        <f>F12-E12</f>
        <v>0</v>
      </c>
      <c r="I12" s="10">
        <f>I8+I11</f>
        <v>707022.9</v>
      </c>
      <c r="J12" s="10">
        <f>J8+J11</f>
        <v>5997.5000000000509</v>
      </c>
      <c r="K12" s="10">
        <f>K8+K11</f>
        <v>-16923.099999999969</v>
      </c>
      <c r="L12" s="24">
        <f t="shared" si="0"/>
        <v>0.97662380895812673</v>
      </c>
      <c r="M12" s="24">
        <f t="shared" si="2"/>
        <v>1.067042347984593</v>
      </c>
      <c r="N12" s="5"/>
      <c r="O12" s="42"/>
      <c r="P12" s="5"/>
      <c r="Q12" s="56"/>
    </row>
    <row r="13" spans="1:17" ht="20.100000000000001" customHeight="1">
      <c r="A13" s="11" t="s">
        <v>8</v>
      </c>
      <c r="B13" s="8" t="s">
        <v>24</v>
      </c>
      <c r="C13" s="13">
        <f ca="1">'Таблица 3'!C9</f>
        <v>44163.700000000004</v>
      </c>
      <c r="D13" s="13">
        <f ca="1">'Таблица 5'!C15</f>
        <v>44641.7</v>
      </c>
      <c r="E13" s="13">
        <f ca="1">'Таблица 5'!S15</f>
        <v>43701.599999999999</v>
      </c>
      <c r="F13" s="13">
        <f ca="1">'Таблица 3'!E9</f>
        <v>43860.6</v>
      </c>
      <c r="G13" s="13">
        <f t="shared" ref="G13:G23" si="3">E13-D13</f>
        <v>-940.09999999999854</v>
      </c>
      <c r="H13" s="13">
        <f ca="1">F13-E13+0.1</f>
        <v>159.1</v>
      </c>
      <c r="I13" s="13">
        <f ca="1">'Таблица 3'!F9</f>
        <v>43028.499999999993</v>
      </c>
      <c r="J13" s="13">
        <f t="shared" ref="J13:J23" si="4">I13-D13</f>
        <v>-1613.2000000000044</v>
      </c>
      <c r="K13" s="13">
        <f>I13-F13</f>
        <v>-832.10000000000582</v>
      </c>
      <c r="L13" s="23">
        <f t="shared" si="0"/>
        <v>0.9810285313014413</v>
      </c>
      <c r="M13" s="23">
        <f t="shared" si="2"/>
        <v>0.97429563193301261</v>
      </c>
      <c r="N13" s="43">
        <f>I13/I24</f>
        <v>6.0138851094060683E-2</v>
      </c>
      <c r="O13" s="46">
        <f>I13-C13</f>
        <v>-1135.2000000000116</v>
      </c>
      <c r="P13" s="43">
        <f>O13/C13</f>
        <v>-2.5704368066987403E-2</v>
      </c>
      <c r="Q13" s="55"/>
    </row>
    <row r="14" spans="1:17" ht="20.100000000000001" customHeight="1">
      <c r="A14" s="11" t="s">
        <v>9</v>
      </c>
      <c r="B14" s="8" t="s">
        <v>25</v>
      </c>
      <c r="C14" s="13">
        <f ca="1">'Таблица 3'!C19</f>
        <v>791.9</v>
      </c>
      <c r="D14" s="13">
        <f ca="1">'Таблица 5'!C16</f>
        <v>806</v>
      </c>
      <c r="E14" s="13">
        <f ca="1">'Таблица 5'!S16</f>
        <v>812.9</v>
      </c>
      <c r="F14" s="13">
        <f ca="1">'Таблица 3'!E19</f>
        <v>812.9</v>
      </c>
      <c r="G14" s="13">
        <f t="shared" si="3"/>
        <v>6.8999999999999773</v>
      </c>
      <c r="H14" s="13">
        <f t="shared" si="1"/>
        <v>0</v>
      </c>
      <c r="I14" s="13">
        <f ca="1">'Таблица 3'!F19</f>
        <v>812.9</v>
      </c>
      <c r="J14" s="13">
        <f t="shared" si="4"/>
        <v>6.8999999999999773</v>
      </c>
      <c r="K14" s="13">
        <f t="shared" ref="K14:K23" si="5">I14-F14</f>
        <v>0</v>
      </c>
      <c r="L14" s="23">
        <f t="shared" si="0"/>
        <v>1</v>
      </c>
      <c r="M14" s="23">
        <f t="shared" si="2"/>
        <v>1.0265184998105821</v>
      </c>
      <c r="N14" s="43">
        <f>I14/I24</f>
        <v>1.1361509709695186E-3</v>
      </c>
      <c r="O14" s="46">
        <f t="shared" ref="O14:O23" si="6">I14-C14</f>
        <v>21</v>
      </c>
      <c r="P14" s="43">
        <f t="shared" ref="P14:P24" si="7">O14/C14</f>
        <v>2.6518499810582144E-2</v>
      </c>
      <c r="Q14" s="55"/>
    </row>
    <row r="15" spans="1:17" ht="31.5">
      <c r="A15" s="11" t="s">
        <v>10</v>
      </c>
      <c r="B15" s="8" t="s">
        <v>181</v>
      </c>
      <c r="C15" s="13">
        <f ca="1">'Таблица 3'!C22</f>
        <v>1400.8</v>
      </c>
      <c r="D15" s="13">
        <f ca="1">'Таблица 5'!C17</f>
        <v>1280</v>
      </c>
      <c r="E15" s="13">
        <f ca="1">'Таблица 5'!S17</f>
        <v>1240.7</v>
      </c>
      <c r="F15" s="13">
        <f ca="1">'Таблица 3'!E22</f>
        <v>1240.7</v>
      </c>
      <c r="G15" s="13">
        <f t="shared" si="3"/>
        <v>-39.299999999999955</v>
      </c>
      <c r="H15" s="13">
        <f t="shared" si="1"/>
        <v>0</v>
      </c>
      <c r="I15" s="13">
        <f ca="1">'Таблица 3'!F22</f>
        <v>1009.8</v>
      </c>
      <c r="J15" s="13">
        <f t="shared" si="4"/>
        <v>-270.20000000000005</v>
      </c>
      <c r="K15" s="13">
        <f t="shared" si="5"/>
        <v>-230.90000000000009</v>
      </c>
      <c r="L15" s="23">
        <f t="shared" si="0"/>
        <v>0.81389538163939701</v>
      </c>
      <c r="M15" s="23">
        <f t="shared" si="2"/>
        <v>0.720873786407767</v>
      </c>
      <c r="N15" s="43">
        <f>I15/I24</f>
        <v>1.4113485674560461E-3</v>
      </c>
      <c r="O15" s="46">
        <f t="shared" si="6"/>
        <v>-391</v>
      </c>
      <c r="P15" s="43">
        <f t="shared" si="7"/>
        <v>-0.279126213592233</v>
      </c>
      <c r="Q15" s="55"/>
    </row>
    <row r="16" spans="1:17" ht="20.100000000000001" customHeight="1">
      <c r="A16" s="11" t="s">
        <v>11</v>
      </c>
      <c r="B16" s="8" t="s">
        <v>26</v>
      </c>
      <c r="C16" s="13">
        <f ca="1">'Таблица 3'!C25</f>
        <v>43017.1</v>
      </c>
      <c r="D16" s="13">
        <f ca="1">'Таблица 5'!C18</f>
        <v>27566.999999999996</v>
      </c>
      <c r="E16" s="13">
        <f ca="1">'Таблица 5'!S18</f>
        <v>28103.199999999993</v>
      </c>
      <c r="F16" s="13">
        <f ca="1">'Таблица 3'!E25</f>
        <v>28103.200000000001</v>
      </c>
      <c r="G16" s="13">
        <f t="shared" si="3"/>
        <v>536.19999999999709</v>
      </c>
      <c r="H16" s="13">
        <f t="shared" si="1"/>
        <v>0</v>
      </c>
      <c r="I16" s="13">
        <f ca="1">'Таблица 3'!F25</f>
        <v>27364.699999999997</v>
      </c>
      <c r="J16" s="13">
        <f t="shared" si="4"/>
        <v>-202.29999999999927</v>
      </c>
      <c r="K16" s="13">
        <f t="shared" si="5"/>
        <v>-738.50000000000364</v>
      </c>
      <c r="L16" s="23">
        <f t="shared" si="0"/>
        <v>0.97372185373907583</v>
      </c>
      <c r="M16" s="23">
        <f t="shared" si="2"/>
        <v>0.63613539731874069</v>
      </c>
      <c r="N16" s="43">
        <f>I16/I24</f>
        <v>3.8246316244666734E-2</v>
      </c>
      <c r="O16" s="46">
        <f t="shared" si="6"/>
        <v>-15652.400000000001</v>
      </c>
      <c r="P16" s="43">
        <f t="shared" si="7"/>
        <v>-0.36386460268125936</v>
      </c>
      <c r="Q16" s="55"/>
    </row>
    <row r="17" spans="1:17" ht="20.100000000000001" customHeight="1">
      <c r="A17" s="11" t="s">
        <v>12</v>
      </c>
      <c r="B17" s="8" t="s">
        <v>27</v>
      </c>
      <c r="C17" s="13">
        <f ca="1">'Таблица 3'!C34</f>
        <v>60212.5</v>
      </c>
      <c r="D17" s="13">
        <f ca="1">'Таблица 5'!C19</f>
        <v>143628.9</v>
      </c>
      <c r="E17" s="13">
        <f ca="1">'Таблица 5'!S19</f>
        <v>157292.19999999995</v>
      </c>
      <c r="F17" s="13">
        <f ca="1">'Таблица 3'!E34</f>
        <v>157292.19999999998</v>
      </c>
      <c r="G17" s="13">
        <f t="shared" si="3"/>
        <v>13663.299999999959</v>
      </c>
      <c r="H17" s="13">
        <f t="shared" si="1"/>
        <v>0</v>
      </c>
      <c r="I17" s="13">
        <f ca="1">'Таблица 3'!F34</f>
        <v>141222.40000000002</v>
      </c>
      <c r="J17" s="13">
        <f t="shared" si="4"/>
        <v>-2406.4999999999709</v>
      </c>
      <c r="K17" s="13">
        <f t="shared" si="5"/>
        <v>-16069.799999999959</v>
      </c>
      <c r="L17" s="23">
        <f t="shared" si="0"/>
        <v>0.8978347305206491</v>
      </c>
      <c r="M17" s="23">
        <f t="shared" si="2"/>
        <v>2.3454000415196186</v>
      </c>
      <c r="N17" s="43">
        <f>I17/I24</f>
        <v>0.19737971076718636</v>
      </c>
      <c r="O17" s="46">
        <f t="shared" si="6"/>
        <v>81009.900000000023</v>
      </c>
      <c r="P17" s="43">
        <f t="shared" si="7"/>
        <v>1.3454000415196183</v>
      </c>
      <c r="Q17" s="55"/>
    </row>
    <row r="18" spans="1:17" ht="20.100000000000001" customHeight="1">
      <c r="A18" s="11" t="s">
        <v>13</v>
      </c>
      <c r="B18" s="8" t="s">
        <v>28</v>
      </c>
      <c r="C18" s="13">
        <f ca="1">'Таблица 3'!C38</f>
        <v>774.8</v>
      </c>
      <c r="D18" s="13">
        <f ca="1">'Таблица 5'!C20</f>
        <v>203</v>
      </c>
      <c r="E18" s="13">
        <f ca="1">'Таблица 5'!S20</f>
        <v>103</v>
      </c>
      <c r="F18" s="13">
        <f ca="1">'Таблица 3'!E38</f>
        <v>103</v>
      </c>
      <c r="G18" s="13">
        <f t="shared" si="3"/>
        <v>-100</v>
      </c>
      <c r="H18" s="13">
        <f t="shared" si="1"/>
        <v>0</v>
      </c>
      <c r="I18" s="13">
        <f ca="1">'Таблица 3'!F38</f>
        <v>93</v>
      </c>
      <c r="J18" s="13">
        <f t="shared" si="4"/>
        <v>-110</v>
      </c>
      <c r="K18" s="13">
        <f t="shared" si="5"/>
        <v>-10</v>
      </c>
      <c r="L18" s="23">
        <f t="shared" si="0"/>
        <v>0.90291262135922334</v>
      </c>
      <c r="M18" s="23">
        <f t="shared" si="2"/>
        <v>0.12003097573567373</v>
      </c>
      <c r="N18" s="43">
        <f>I18/I24</f>
        <v>1.2998159712162042E-4</v>
      </c>
      <c r="O18" s="46">
        <f t="shared" si="6"/>
        <v>-681.8</v>
      </c>
      <c r="P18" s="43">
        <f t="shared" si="7"/>
        <v>-0.87996902426432622</v>
      </c>
      <c r="Q18" s="55"/>
    </row>
    <row r="19" spans="1:17" ht="20.100000000000001" customHeight="1">
      <c r="A19" s="11" t="s">
        <v>14</v>
      </c>
      <c r="B19" s="8" t="s">
        <v>29</v>
      </c>
      <c r="C19" s="13">
        <f ca="1">'Таблица 3'!C40</f>
        <v>320609.8</v>
      </c>
      <c r="D19" s="13">
        <f ca="1">'Таблица 5'!C21</f>
        <v>315808.2</v>
      </c>
      <c r="E19" s="13">
        <f ca="1">'Таблица 5'!S21</f>
        <v>325276.40000000002</v>
      </c>
      <c r="F19" s="13">
        <f ca="1">'Таблица 3'!E40</f>
        <v>325276.39999999997</v>
      </c>
      <c r="G19" s="13">
        <f t="shared" si="3"/>
        <v>9468.2000000000116</v>
      </c>
      <c r="H19" s="13">
        <f t="shared" si="1"/>
        <v>0</v>
      </c>
      <c r="I19" s="13">
        <f ca="1">'Таблица 3'!F40</f>
        <v>322854.59999999998</v>
      </c>
      <c r="J19" s="13">
        <f t="shared" si="4"/>
        <v>7046.3999999999651</v>
      </c>
      <c r="K19" s="13">
        <f t="shared" si="5"/>
        <v>-2421.7999999999884</v>
      </c>
      <c r="L19" s="23">
        <f t="shared" si="0"/>
        <v>0.99255463968489566</v>
      </c>
      <c r="M19" s="23">
        <f t="shared" si="2"/>
        <v>1.0070016574664904</v>
      </c>
      <c r="N19" s="43">
        <f>I19/I24</f>
        <v>0.45123824243077321</v>
      </c>
      <c r="O19" s="46">
        <f t="shared" si="6"/>
        <v>2244.7999999999884</v>
      </c>
      <c r="P19" s="43">
        <f t="shared" si="7"/>
        <v>7.0016574664903833E-3</v>
      </c>
      <c r="Q19" s="55"/>
    </row>
    <row r="20" spans="1:17" ht="20.100000000000001" customHeight="1">
      <c r="A20" s="11" t="s">
        <v>15</v>
      </c>
      <c r="B20" s="8" t="s">
        <v>31</v>
      </c>
      <c r="C20" s="13">
        <f ca="1">'Таблица 3'!C46</f>
        <v>18270.3</v>
      </c>
      <c r="D20" s="13">
        <f ca="1">'Таблица 5'!C22</f>
        <v>17965.2</v>
      </c>
      <c r="E20" s="13">
        <f ca="1">'Таблица 5'!S22</f>
        <v>21532.799999999999</v>
      </c>
      <c r="F20" s="13">
        <f ca="1">'Таблица 3'!E46</f>
        <v>21532.799999999999</v>
      </c>
      <c r="G20" s="13">
        <f t="shared" si="3"/>
        <v>3567.5999999999985</v>
      </c>
      <c r="H20" s="13">
        <f t="shared" si="1"/>
        <v>0</v>
      </c>
      <c r="I20" s="13">
        <f ca="1">'Таблица 3'!F46</f>
        <v>20842.3</v>
      </c>
      <c r="J20" s="13">
        <f t="shared" si="4"/>
        <v>2877.0999999999985</v>
      </c>
      <c r="K20" s="13">
        <f t="shared" si="5"/>
        <v>-690.5</v>
      </c>
      <c r="L20" s="23">
        <f t="shared" si="0"/>
        <v>0.96793264229454601</v>
      </c>
      <c r="M20" s="23">
        <f t="shared" si="2"/>
        <v>1.1407749188573806</v>
      </c>
      <c r="N20" s="43">
        <f>I20/I24</f>
        <v>2.913027356653709E-2</v>
      </c>
      <c r="O20" s="46">
        <f t="shared" si="6"/>
        <v>2572</v>
      </c>
      <c r="P20" s="43">
        <f t="shared" si="7"/>
        <v>0.14077491885738055</v>
      </c>
      <c r="Q20" s="55"/>
    </row>
    <row r="21" spans="1:17" ht="20.100000000000001" customHeight="1">
      <c r="A21" s="11" t="s">
        <v>16</v>
      </c>
      <c r="B21" s="8" t="s">
        <v>30</v>
      </c>
      <c r="C21" s="13">
        <f ca="1">'Таблица 3'!C48</f>
        <v>58165</v>
      </c>
      <c r="D21" s="13">
        <f ca="1">'Таблица 5'!C23</f>
        <v>58217.200000000004</v>
      </c>
      <c r="E21" s="13">
        <f ca="1">'Таблица 5'!S23</f>
        <v>57112.200000000004</v>
      </c>
      <c r="F21" s="13">
        <f ca="1">'Таблица 3'!E48</f>
        <v>57112.200000000004</v>
      </c>
      <c r="G21" s="13">
        <f t="shared" si="3"/>
        <v>-1105</v>
      </c>
      <c r="H21" s="13">
        <f t="shared" si="1"/>
        <v>0</v>
      </c>
      <c r="I21" s="13">
        <f ca="1">'Таблица 3'!F48</f>
        <v>57068.799999999996</v>
      </c>
      <c r="J21" s="13">
        <f t="shared" si="4"/>
        <v>-1148.4000000000087</v>
      </c>
      <c r="K21" s="13">
        <f t="shared" si="5"/>
        <v>-43.400000000008731</v>
      </c>
      <c r="L21" s="23">
        <f t="shared" si="0"/>
        <v>0.99924009230952393</v>
      </c>
      <c r="M21" s="23">
        <f t="shared" si="2"/>
        <v>0.981153614716754</v>
      </c>
      <c r="N21" s="43">
        <f>I21/I24</f>
        <v>7.9762298600154102E-2</v>
      </c>
      <c r="O21" s="46">
        <f t="shared" si="6"/>
        <v>-1096.2000000000044</v>
      </c>
      <c r="P21" s="43">
        <f t="shared" si="7"/>
        <v>-1.8846385283246014E-2</v>
      </c>
      <c r="Q21" s="55"/>
    </row>
    <row r="22" spans="1:17" ht="20.100000000000001" customHeight="1">
      <c r="A22" s="11" t="s">
        <v>17</v>
      </c>
      <c r="B22" s="8" t="s">
        <v>32</v>
      </c>
      <c r="C22" s="13">
        <f ca="1">'Таблица 3'!C54</f>
        <v>4381.7</v>
      </c>
      <c r="D22" s="13">
        <f ca="1">'Таблица 5'!C24</f>
        <v>8450.5</v>
      </c>
      <c r="E22" s="13">
        <f ca="1">'Таблица 5'!S24</f>
        <v>3575.2000000000007</v>
      </c>
      <c r="F22" s="13">
        <f ca="1">'Таблица 3'!E54</f>
        <v>3575.2</v>
      </c>
      <c r="G22" s="13">
        <f t="shared" si="3"/>
        <v>-4875.2999999999993</v>
      </c>
      <c r="H22" s="13">
        <f t="shared" si="1"/>
        <v>0</v>
      </c>
      <c r="I22" s="13">
        <f ca="1">'Таблица 3'!F54</f>
        <v>3575.2</v>
      </c>
      <c r="J22" s="13">
        <f t="shared" si="4"/>
        <v>-4875.3</v>
      </c>
      <c r="K22" s="13">
        <f t="shared" si="5"/>
        <v>0</v>
      </c>
      <c r="L22" s="23">
        <f t="shared" si="0"/>
        <v>1</v>
      </c>
      <c r="M22" s="23">
        <f t="shared" si="2"/>
        <v>0.81593901910217492</v>
      </c>
      <c r="N22" s="43">
        <f>I22/I24</f>
        <v>4.996883935798036E-3</v>
      </c>
      <c r="O22" s="46">
        <f t="shared" si="6"/>
        <v>-806.5</v>
      </c>
      <c r="P22" s="43">
        <f t="shared" si="7"/>
        <v>-0.18406098089782505</v>
      </c>
      <c r="Q22" s="55"/>
    </row>
    <row r="23" spans="1:17" ht="20.100000000000001" customHeight="1">
      <c r="A23" s="11" t="s">
        <v>18</v>
      </c>
      <c r="B23" s="8" t="s">
        <v>33</v>
      </c>
      <c r="C23" s="13">
        <f ca="1">'Таблица 3'!C57</f>
        <v>111989.1</v>
      </c>
      <c r="D23" s="13">
        <f ca="1">'Таблица 5'!C25</f>
        <v>84459.299999999988</v>
      </c>
      <c r="E23" s="13">
        <f ca="1">'Таблица 5'!S25</f>
        <v>97772.799999999988</v>
      </c>
      <c r="F23" s="13">
        <f ca="1">'Таблица 3'!E57</f>
        <v>97613.7</v>
      </c>
      <c r="G23" s="13">
        <f t="shared" si="3"/>
        <v>13313.5</v>
      </c>
      <c r="H23" s="13">
        <f t="shared" si="1"/>
        <v>-159.09999999999127</v>
      </c>
      <c r="I23" s="13">
        <f ca="1">'Таблица 3'!F57</f>
        <v>97613.7</v>
      </c>
      <c r="J23" s="13">
        <f t="shared" si="4"/>
        <v>13154.400000000009</v>
      </c>
      <c r="K23" s="13">
        <f t="shared" si="5"/>
        <v>0</v>
      </c>
      <c r="L23" s="23">
        <f t="shared" si="0"/>
        <v>1</v>
      </c>
      <c r="M23" s="23">
        <f t="shared" si="2"/>
        <v>0.87163572169077164</v>
      </c>
      <c r="N23" s="43">
        <f>I23/I24</f>
        <v>0.13642994222527655</v>
      </c>
      <c r="O23" s="46">
        <f t="shared" si="6"/>
        <v>-14375.400000000009</v>
      </c>
      <c r="P23" s="43">
        <f t="shared" si="7"/>
        <v>-0.12836427830922839</v>
      </c>
      <c r="Q23" s="55"/>
    </row>
    <row r="24" spans="1:17" s="6" customFormat="1" ht="20.100000000000001" customHeight="1">
      <c r="A24" s="12"/>
      <c r="B24" s="9" t="s">
        <v>19</v>
      </c>
      <c r="C24" s="10">
        <f>SUM(C13:C23)-0.1</f>
        <v>663776.59999999986</v>
      </c>
      <c r="D24" s="10">
        <f t="shared" ref="D24:K24" si="8">SUM(D13:D23)</f>
        <v>703027</v>
      </c>
      <c r="E24" s="10">
        <f>SUM(E13:E23)-0.1</f>
        <v>736522.9</v>
      </c>
      <c r="F24" s="10">
        <f t="shared" si="8"/>
        <v>736522.89999999991</v>
      </c>
      <c r="G24" s="10">
        <f t="shared" si="8"/>
        <v>33495.999999999971</v>
      </c>
      <c r="H24" s="10">
        <f t="shared" si="8"/>
        <v>8.7254647951340303E-12</v>
      </c>
      <c r="I24" s="10">
        <f t="shared" si="8"/>
        <v>715485.9</v>
      </c>
      <c r="J24" s="10">
        <f t="shared" si="8"/>
        <v>12458.899999999989</v>
      </c>
      <c r="K24" s="10">
        <f t="shared" si="8"/>
        <v>-21036.999999999967</v>
      </c>
      <c r="L24" s="24">
        <f t="shared" si="0"/>
        <v>0.97143741219723123</v>
      </c>
      <c r="M24" s="24">
        <f t="shared" si="2"/>
        <v>1.0779016614927375</v>
      </c>
      <c r="N24" s="5"/>
      <c r="O24" s="42">
        <f>I24-C24</f>
        <v>51709.300000000163</v>
      </c>
      <c r="P24" s="47">
        <f t="shared" si="7"/>
        <v>7.7901661492737431E-2</v>
      </c>
      <c r="Q24" s="56"/>
    </row>
    <row r="25" spans="1:17" s="6" customFormat="1" ht="20.100000000000001" customHeight="1">
      <c r="A25" s="12"/>
      <c r="B25" s="9" t="s">
        <v>20</v>
      </c>
      <c r="C25" s="10">
        <f t="shared" ref="C25:K25" si="9">C12-C24</f>
        <v>-1175.9999999998836</v>
      </c>
      <c r="D25" s="10">
        <f t="shared" si="9"/>
        <v>-2001.5999999999767</v>
      </c>
      <c r="E25" s="10">
        <f t="shared" si="9"/>
        <v>-12576.900000000023</v>
      </c>
      <c r="F25" s="10">
        <f t="shared" si="9"/>
        <v>-12576.899999999907</v>
      </c>
      <c r="G25" s="10">
        <f t="shared" si="9"/>
        <v>-10575.399999999951</v>
      </c>
      <c r="H25" s="10">
        <f t="shared" si="9"/>
        <v>-8.7254647951340303E-12</v>
      </c>
      <c r="I25" s="10">
        <f t="shared" si="9"/>
        <v>-8463</v>
      </c>
      <c r="J25" s="10">
        <f t="shared" si="9"/>
        <v>-6461.3999999999378</v>
      </c>
      <c r="K25" s="10">
        <f t="shared" si="9"/>
        <v>4113.8999999999978</v>
      </c>
      <c r="L25" s="10"/>
      <c r="M25" s="10"/>
      <c r="N25" s="5"/>
      <c r="O25" s="47"/>
      <c r="P25" s="5"/>
      <c r="Q25" s="56"/>
    </row>
    <row r="26" spans="1:17" ht="15.75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3"/>
      <c r="P26" s="1"/>
    </row>
    <row r="27" spans="1:17" ht="15.75">
      <c r="A27" s="7"/>
      <c r="B27" s="1"/>
      <c r="C27" s="1"/>
      <c r="D27" s="1"/>
      <c r="E27" s="1"/>
      <c r="F27" s="1"/>
      <c r="G27" s="1"/>
      <c r="H27" s="1"/>
      <c r="I27" s="43"/>
      <c r="J27" s="1"/>
      <c r="K27" s="1"/>
      <c r="L27" s="1"/>
      <c r="M27" s="1"/>
      <c r="N27" s="1"/>
      <c r="O27" s="1"/>
      <c r="P27" s="1"/>
    </row>
    <row r="28" spans="1:17" ht="15.75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7" ht="15.75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7" ht="15.7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7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</sheetData>
  <mergeCells count="3">
    <mergeCell ref="K5:M5"/>
    <mergeCell ref="K1:M1"/>
    <mergeCell ref="A3:M3"/>
  </mergeCells>
  <phoneticPr fontId="0" type="noConversion"/>
  <pageMargins left="0.39370078740157483" right="0.39370078740157483" top="0.59055118110236227" bottom="0.59055118110236227" header="0.31496062992125984" footer="0.31496062992125984"/>
  <pageSetup paperSize="9" scale="87" orientation="landscape" r:id="rId1"/>
  <ignoredErrors>
    <ignoredError sqref="G12:K12 F24 H24 J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3"/>
  <sheetViews>
    <sheetView topLeftCell="B1" workbookViewId="0">
      <pane ySplit="7" topLeftCell="A59" activePane="bottomLeft" state="frozen"/>
      <selection activeCell="B1" sqref="B1"/>
      <selection pane="bottomLeft" activeCell="B8" sqref="B8"/>
    </sheetView>
  </sheetViews>
  <sheetFormatPr defaultRowHeight="15"/>
  <cols>
    <col min="1" max="1" width="5.7109375" hidden="1" customWidth="1"/>
    <col min="2" max="2" width="50.7109375" customWidth="1"/>
    <col min="3" max="7" width="10.7109375" customWidth="1"/>
    <col min="8" max="8" width="10.28515625" customWidth="1"/>
    <col min="9" max="9" width="8.28515625" hidden="1" customWidth="1"/>
    <col min="10" max="10" width="7.140625" hidden="1" customWidth="1"/>
    <col min="11" max="11" width="10.7109375" hidden="1" customWidth="1"/>
    <col min="12" max="13" width="9.140625" hidden="1" customWidth="1"/>
  </cols>
  <sheetData>
    <row r="1" spans="1:13" ht="15.75">
      <c r="A1" s="1"/>
      <c r="B1" s="1"/>
      <c r="C1" s="1"/>
      <c r="D1" s="1"/>
      <c r="E1" s="1"/>
      <c r="F1" s="1"/>
      <c r="G1" s="138" t="s">
        <v>255</v>
      </c>
      <c r="H1" s="138"/>
      <c r="I1" s="1"/>
      <c r="J1" s="1"/>
      <c r="K1" s="1"/>
    </row>
    <row r="2" spans="1:13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2.5" customHeight="1">
      <c r="A3" s="139" t="s">
        <v>198</v>
      </c>
      <c r="B3" s="139"/>
      <c r="C3" s="139"/>
      <c r="D3" s="139"/>
      <c r="E3" s="139"/>
      <c r="F3" s="139"/>
      <c r="G3" s="139"/>
      <c r="H3" s="139"/>
      <c r="I3" s="1"/>
      <c r="J3" s="1"/>
      <c r="K3" s="1"/>
    </row>
    <row r="4" spans="1:13" ht="9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s="3" customFormat="1" ht="20.100000000000001" customHeight="1">
      <c r="A5" s="2"/>
      <c r="B5" s="2"/>
      <c r="C5" s="2"/>
      <c r="D5" s="2"/>
      <c r="E5" s="2"/>
      <c r="F5" s="2"/>
      <c r="G5" s="137"/>
      <c r="H5" s="137"/>
      <c r="I5" s="2"/>
      <c r="J5" s="2"/>
      <c r="K5" s="2"/>
    </row>
    <row r="6" spans="1:13" s="17" customFormat="1" ht="69.95" customHeight="1">
      <c r="A6" s="19" t="s">
        <v>5</v>
      </c>
      <c r="B6" s="19" t="s">
        <v>45</v>
      </c>
      <c r="C6" s="19" t="s">
        <v>185</v>
      </c>
      <c r="D6" s="19" t="s">
        <v>199</v>
      </c>
      <c r="E6" s="19" t="s">
        <v>191</v>
      </c>
      <c r="F6" s="18" t="s">
        <v>158</v>
      </c>
      <c r="G6" s="18" t="s">
        <v>192</v>
      </c>
      <c r="H6" s="18" t="s">
        <v>193</v>
      </c>
      <c r="I6" s="16"/>
      <c r="J6" s="16"/>
      <c r="K6" s="16"/>
    </row>
    <row r="7" spans="1:13" s="17" customFormat="1" ht="15" customHeight="1">
      <c r="A7" s="19">
        <v>1</v>
      </c>
      <c r="B7" s="19">
        <v>1</v>
      </c>
      <c r="C7" s="19">
        <v>2</v>
      </c>
      <c r="D7" s="19">
        <v>3</v>
      </c>
      <c r="E7" s="18">
        <v>4</v>
      </c>
      <c r="F7" s="18">
        <v>5</v>
      </c>
      <c r="G7" s="18">
        <v>6</v>
      </c>
      <c r="H7" s="18">
        <v>7</v>
      </c>
      <c r="I7" s="16"/>
      <c r="J7" s="16"/>
      <c r="K7" s="16"/>
    </row>
    <row r="8" spans="1:13" s="6" customFormat="1" ht="20.100000000000001" customHeight="1">
      <c r="A8" s="9"/>
      <c r="B8" s="89" t="s">
        <v>38</v>
      </c>
      <c r="C8" s="90">
        <f>C9+C30</f>
        <v>662600.6</v>
      </c>
      <c r="D8" s="90">
        <f>D9+D30</f>
        <v>723946</v>
      </c>
      <c r="E8" s="90">
        <f>E9+E30</f>
        <v>707022.9</v>
      </c>
      <c r="F8" s="91">
        <f t="shared" ref="F8:F37" si="0">E8-D8</f>
        <v>-16923.099999999977</v>
      </c>
      <c r="G8" s="92">
        <f t="shared" ref="G8:G32" si="1">E8/D8</f>
        <v>0.97662380895812673</v>
      </c>
      <c r="H8" s="92">
        <f t="shared" ref="H8:H15" si="2">E8/C8</f>
        <v>1.067042347984593</v>
      </c>
      <c r="I8" s="93"/>
      <c r="J8" s="93"/>
      <c r="K8" s="110">
        <f>E8-C8</f>
        <v>44422.300000000047</v>
      </c>
      <c r="L8" s="96"/>
      <c r="M8" s="96"/>
    </row>
    <row r="9" spans="1:13" s="30" customFormat="1" ht="20.100000000000001" customHeight="1">
      <c r="A9" s="29"/>
      <c r="B9" s="98" t="s">
        <v>41</v>
      </c>
      <c r="C9" s="99">
        <f>C10+C18+0.1</f>
        <v>59824.799999999996</v>
      </c>
      <c r="D9" s="99">
        <f>D10+D18</f>
        <v>44747.6</v>
      </c>
      <c r="E9" s="99">
        <f>E10+E18</f>
        <v>45480.100000000006</v>
      </c>
      <c r="F9" s="99">
        <f t="shared" si="0"/>
        <v>732.50000000000728</v>
      </c>
      <c r="G9" s="100">
        <f t="shared" si="1"/>
        <v>1.0163695930061054</v>
      </c>
      <c r="H9" s="100">
        <f t="shared" si="2"/>
        <v>0.76022151348604605</v>
      </c>
      <c r="I9" s="101"/>
      <c r="J9" s="101"/>
      <c r="K9" s="111">
        <f>E9/E8</f>
        <v>6.4326204992794442E-2</v>
      </c>
      <c r="L9" s="112">
        <f>C9/C8</f>
        <v>9.0287874777052718E-2</v>
      </c>
      <c r="M9" s="104"/>
    </row>
    <row r="10" spans="1:13" s="6" customFormat="1" ht="15.75" customHeight="1">
      <c r="A10" s="31"/>
      <c r="B10" s="113" t="s">
        <v>42</v>
      </c>
      <c r="C10" s="114">
        <f>C11+C12+C13+C17</f>
        <v>46318.2</v>
      </c>
      <c r="D10" s="114">
        <f>D11+D12+D13+D17+0.1</f>
        <v>32043</v>
      </c>
      <c r="E10" s="114">
        <f>E11+E12+E13+E17</f>
        <v>31064.800000000003</v>
      </c>
      <c r="F10" s="114">
        <f t="shared" si="0"/>
        <v>-978.19999999999709</v>
      </c>
      <c r="G10" s="115">
        <f t="shared" si="1"/>
        <v>0.96947227163499061</v>
      </c>
      <c r="H10" s="115">
        <f t="shared" si="2"/>
        <v>0.67068236675863924</v>
      </c>
      <c r="I10" s="116"/>
      <c r="J10" s="117">
        <f>E10/E8</f>
        <v>4.3937473595268277E-2</v>
      </c>
      <c r="K10" s="110">
        <f>E10-C10</f>
        <v>-15253.399999999994</v>
      </c>
      <c r="L10" s="118">
        <f>K10/C10</f>
        <v>-0.32931763324136076</v>
      </c>
      <c r="M10" s="96"/>
    </row>
    <row r="11" spans="1:13" s="33" customFormat="1" ht="15.75" customHeight="1">
      <c r="A11" s="32"/>
      <c r="B11" s="119" t="s">
        <v>43</v>
      </c>
      <c r="C11" s="52">
        <v>35704.9</v>
      </c>
      <c r="D11" s="52">
        <v>23250.1</v>
      </c>
      <c r="E11" s="52">
        <v>22045</v>
      </c>
      <c r="F11" s="52">
        <f t="shared" si="0"/>
        <v>-1205.0999999999985</v>
      </c>
      <c r="G11" s="120">
        <f t="shared" si="1"/>
        <v>0.94816796486896837</v>
      </c>
      <c r="H11" s="120">
        <f t="shared" si="2"/>
        <v>0.61742225856955202</v>
      </c>
      <c r="I11" s="121"/>
      <c r="J11" s="121">
        <f>E11/E10</f>
        <v>0.70964564394427121</v>
      </c>
      <c r="K11" s="122"/>
      <c r="L11" s="123">
        <f>E11/E8</f>
        <v>3.118003674279857E-2</v>
      </c>
      <c r="M11" s="124"/>
    </row>
    <row r="12" spans="1:13" s="33" customFormat="1" ht="15.75" customHeight="1">
      <c r="A12" s="32"/>
      <c r="B12" s="119" t="s">
        <v>186</v>
      </c>
      <c r="C12" s="52">
        <v>3412.2</v>
      </c>
      <c r="D12" s="52">
        <v>83.8</v>
      </c>
      <c r="E12" s="52">
        <v>96.3</v>
      </c>
      <c r="F12" s="52">
        <f t="shared" si="0"/>
        <v>12.5</v>
      </c>
      <c r="G12" s="120">
        <f t="shared" si="1"/>
        <v>1.1491646778042959</v>
      </c>
      <c r="H12" s="120">
        <f t="shared" si="2"/>
        <v>2.8222261297696501E-2</v>
      </c>
      <c r="I12" s="121"/>
      <c r="J12" s="121">
        <f>E12/E10</f>
        <v>3.0999716721176376E-3</v>
      </c>
      <c r="K12" s="125"/>
      <c r="L12" s="124"/>
      <c r="M12" s="124"/>
    </row>
    <row r="13" spans="1:13" s="33" customFormat="1" ht="15.75" customHeight="1">
      <c r="A13" s="32"/>
      <c r="B13" s="119" t="s">
        <v>218</v>
      </c>
      <c r="C13" s="52">
        <f>C14+C15+C16</f>
        <v>6426.7</v>
      </c>
      <c r="D13" s="52">
        <f>D14+D15+D16</f>
        <v>7718.1</v>
      </c>
      <c r="E13" s="52">
        <f>E14+E15+E16</f>
        <v>7718.1</v>
      </c>
      <c r="F13" s="52">
        <f t="shared" si="0"/>
        <v>0</v>
      </c>
      <c r="G13" s="120">
        <f t="shared" si="1"/>
        <v>1</v>
      </c>
      <c r="H13" s="120">
        <f t="shared" si="2"/>
        <v>1.2009429411673176</v>
      </c>
      <c r="I13" s="125"/>
      <c r="J13" s="121">
        <f>E13/E10</f>
        <v>0.24845162370271173</v>
      </c>
      <c r="K13" s="125"/>
      <c r="L13" s="124"/>
      <c r="M13" s="124"/>
    </row>
    <row r="14" spans="1:13" s="28" customFormat="1" ht="15.75" customHeight="1">
      <c r="A14" s="25"/>
      <c r="B14" s="126" t="s">
        <v>215</v>
      </c>
      <c r="C14" s="35">
        <v>5859.4</v>
      </c>
      <c r="D14" s="35">
        <v>6327.8</v>
      </c>
      <c r="E14" s="35">
        <v>6327.8</v>
      </c>
      <c r="F14" s="35">
        <f t="shared" si="0"/>
        <v>0</v>
      </c>
      <c r="G14" s="127">
        <f t="shared" si="1"/>
        <v>1</v>
      </c>
      <c r="H14" s="127">
        <f t="shared" si="2"/>
        <v>1.0799399255896509</v>
      </c>
      <c r="I14" s="128"/>
      <c r="J14" s="128">
        <f>E14/E10</f>
        <v>0.20369678864824495</v>
      </c>
      <c r="K14" s="129"/>
      <c r="L14" s="78"/>
      <c r="M14" s="78"/>
    </row>
    <row r="15" spans="1:13" s="28" customFormat="1" ht="15.75" customHeight="1">
      <c r="A15" s="25"/>
      <c r="B15" s="126" t="s">
        <v>216</v>
      </c>
      <c r="C15" s="35">
        <v>567.29999999999995</v>
      </c>
      <c r="D15" s="35">
        <v>1386</v>
      </c>
      <c r="E15" s="35">
        <v>1386</v>
      </c>
      <c r="F15" s="35">
        <f t="shared" si="0"/>
        <v>0</v>
      </c>
      <c r="G15" s="127">
        <f t="shared" si="1"/>
        <v>1</v>
      </c>
      <c r="H15" s="127">
        <f t="shared" si="2"/>
        <v>2.4431517715494451</v>
      </c>
      <c r="I15" s="129"/>
      <c r="J15" s="128">
        <f>E15/E10</f>
        <v>4.4616414720197776E-2</v>
      </c>
      <c r="K15" s="129"/>
      <c r="L15" s="78"/>
      <c r="M15" s="78"/>
    </row>
    <row r="16" spans="1:13" s="28" customFormat="1" ht="15.75" customHeight="1">
      <c r="A16" s="25"/>
      <c r="B16" s="126" t="s">
        <v>217</v>
      </c>
      <c r="C16" s="35"/>
      <c r="D16" s="35">
        <v>4.3</v>
      </c>
      <c r="E16" s="35">
        <v>4.3</v>
      </c>
      <c r="F16" s="35">
        <f t="shared" si="0"/>
        <v>0</v>
      </c>
      <c r="G16" s="127">
        <f t="shared" si="1"/>
        <v>1</v>
      </c>
      <c r="H16" s="127"/>
      <c r="I16" s="129"/>
      <c r="J16" s="128">
        <f>E16/E10</f>
        <v>1.3842033426901185E-4</v>
      </c>
      <c r="K16" s="129"/>
      <c r="L16" s="78"/>
      <c r="M16" s="78"/>
    </row>
    <row r="17" spans="1:13" s="33" customFormat="1" ht="15.75" customHeight="1">
      <c r="A17" s="32"/>
      <c r="B17" s="119" t="s">
        <v>44</v>
      </c>
      <c r="C17" s="52">
        <v>774.4</v>
      </c>
      <c r="D17" s="52">
        <v>990.9</v>
      </c>
      <c r="E17" s="52">
        <v>1205.4000000000001</v>
      </c>
      <c r="F17" s="52">
        <f t="shared" si="0"/>
        <v>214.50000000000011</v>
      </c>
      <c r="G17" s="120">
        <f t="shared" si="1"/>
        <v>1.2164698758704209</v>
      </c>
      <c r="H17" s="120">
        <f t="shared" ref="H17:H28" si="3">E17/C17</f>
        <v>1.5565599173553721</v>
      </c>
      <c r="I17" s="125"/>
      <c r="J17" s="121">
        <f>E17/E10</f>
        <v>3.880276068089928E-2</v>
      </c>
      <c r="K17" s="125"/>
      <c r="L17" s="124"/>
      <c r="M17" s="124"/>
    </row>
    <row r="18" spans="1:13" s="6" customFormat="1" ht="15.75" customHeight="1">
      <c r="A18" s="31"/>
      <c r="B18" s="113" t="s">
        <v>50</v>
      </c>
      <c r="C18" s="114">
        <f>C19+C23+C24+C27+C28+C29</f>
        <v>13506.499999999998</v>
      </c>
      <c r="D18" s="114">
        <f>D19+D23+D24+D27+D28+D29</f>
        <v>12704.599999999999</v>
      </c>
      <c r="E18" s="114">
        <f>E19+E23+E24+E27+E28+E29</f>
        <v>14415.3</v>
      </c>
      <c r="F18" s="114">
        <f t="shared" si="0"/>
        <v>1710.7000000000007</v>
      </c>
      <c r="G18" s="115">
        <f t="shared" si="1"/>
        <v>1.1346520158052988</v>
      </c>
      <c r="H18" s="115">
        <f t="shared" si="3"/>
        <v>1.067286121497057</v>
      </c>
      <c r="I18" s="116"/>
      <c r="J18" s="117">
        <f>E18/E8</f>
        <v>2.0388731397526162E-2</v>
      </c>
      <c r="K18" s="110">
        <f>E18-C18</f>
        <v>908.80000000000109</v>
      </c>
      <c r="L18" s="118">
        <f>K18/C18</f>
        <v>6.7286121497057066E-2</v>
      </c>
      <c r="M18" s="96"/>
    </row>
    <row r="19" spans="1:13" s="33" customFormat="1" ht="31.5" customHeight="1">
      <c r="A19" s="32"/>
      <c r="B19" s="119" t="s">
        <v>219</v>
      </c>
      <c r="C19" s="52">
        <f>C20+C21+C22</f>
        <v>2990.8999999999996</v>
      </c>
      <c r="D19" s="52">
        <f>D20+D21+D22</f>
        <v>2553.6999999999998</v>
      </c>
      <c r="E19" s="52">
        <f>E20+E21+E22</f>
        <v>2901.2</v>
      </c>
      <c r="F19" s="52">
        <f t="shared" si="0"/>
        <v>347.5</v>
      </c>
      <c r="G19" s="120">
        <f t="shared" si="1"/>
        <v>1.1360770646512903</v>
      </c>
      <c r="H19" s="120">
        <f t="shared" si="3"/>
        <v>0.97000902738306205</v>
      </c>
      <c r="I19" s="125"/>
      <c r="J19" s="125"/>
      <c r="K19" s="125"/>
      <c r="L19" s="124"/>
      <c r="M19" s="124"/>
    </row>
    <row r="20" spans="1:13" s="28" customFormat="1" ht="75">
      <c r="A20" s="25"/>
      <c r="B20" s="126" t="s">
        <v>221</v>
      </c>
      <c r="C20" s="35">
        <v>1309.4000000000001</v>
      </c>
      <c r="D20" s="35">
        <v>1543.2</v>
      </c>
      <c r="E20" s="35">
        <v>2008.9</v>
      </c>
      <c r="F20" s="35">
        <f t="shared" si="0"/>
        <v>465.70000000000005</v>
      </c>
      <c r="G20" s="127">
        <f t="shared" si="1"/>
        <v>1.3017755313634007</v>
      </c>
      <c r="H20" s="127">
        <f t="shared" si="3"/>
        <v>1.5342141438826944</v>
      </c>
      <c r="I20" s="129"/>
      <c r="J20" s="129"/>
      <c r="K20" s="129"/>
      <c r="L20" s="78"/>
      <c r="M20" s="78"/>
    </row>
    <row r="21" spans="1:13" s="28" customFormat="1" ht="75" customHeight="1">
      <c r="A21" s="25"/>
      <c r="B21" s="126" t="s">
        <v>157</v>
      </c>
      <c r="C21" s="35">
        <v>1631.3</v>
      </c>
      <c r="D21" s="35">
        <v>954.4</v>
      </c>
      <c r="E21" s="35">
        <v>847.1</v>
      </c>
      <c r="F21" s="35">
        <f t="shared" si="0"/>
        <v>-107.29999999999995</v>
      </c>
      <c r="G21" s="127">
        <f t="shared" si="1"/>
        <v>0.88757334450963965</v>
      </c>
      <c r="H21" s="127">
        <f t="shared" si="3"/>
        <v>0.51927910255624354</v>
      </c>
      <c r="I21" s="129"/>
      <c r="J21" s="129"/>
      <c r="K21" s="129"/>
      <c r="L21" s="78"/>
      <c r="M21" s="78"/>
    </row>
    <row r="22" spans="1:13" s="28" customFormat="1" ht="15.75" customHeight="1">
      <c r="A22" s="25"/>
      <c r="B22" s="126" t="s">
        <v>57</v>
      </c>
      <c r="C22" s="35">
        <v>50.2</v>
      </c>
      <c r="D22" s="35">
        <v>56.1</v>
      </c>
      <c r="E22" s="35">
        <v>45.2</v>
      </c>
      <c r="F22" s="35">
        <f t="shared" si="0"/>
        <v>-10.899999999999999</v>
      </c>
      <c r="G22" s="127">
        <f t="shared" si="1"/>
        <v>0.80570409982174696</v>
      </c>
      <c r="H22" s="127">
        <f t="shared" si="3"/>
        <v>0.90039840637450197</v>
      </c>
      <c r="I22" s="129"/>
      <c r="J22" s="129"/>
      <c r="K22" s="129"/>
      <c r="L22" s="78"/>
      <c r="M22" s="78"/>
    </row>
    <row r="23" spans="1:13" s="33" customFormat="1" ht="15.75" customHeight="1">
      <c r="A23" s="32"/>
      <c r="B23" s="119" t="s">
        <v>46</v>
      </c>
      <c r="C23" s="52">
        <v>410.4</v>
      </c>
      <c r="D23" s="52">
        <v>286.39999999999998</v>
      </c>
      <c r="E23" s="52">
        <v>286.39999999999998</v>
      </c>
      <c r="F23" s="52">
        <f t="shared" si="0"/>
        <v>0</v>
      </c>
      <c r="G23" s="120">
        <f t="shared" si="1"/>
        <v>1</v>
      </c>
      <c r="H23" s="120">
        <f t="shared" si="3"/>
        <v>0.6978557504873294</v>
      </c>
      <c r="I23" s="125"/>
      <c r="J23" s="125"/>
      <c r="K23" s="125"/>
      <c r="L23" s="124"/>
      <c r="M23" s="124"/>
    </row>
    <row r="24" spans="1:13" s="33" customFormat="1" ht="31.5" customHeight="1">
      <c r="A24" s="32"/>
      <c r="B24" s="119" t="s">
        <v>222</v>
      </c>
      <c r="C24" s="52">
        <f>C25+C26</f>
        <v>8200.7999999999993</v>
      </c>
      <c r="D24" s="52">
        <f>D25+D26</f>
        <v>8528</v>
      </c>
      <c r="E24" s="52">
        <f>E25+E26</f>
        <v>8802.4</v>
      </c>
      <c r="F24" s="52">
        <f t="shared" si="0"/>
        <v>274.39999999999964</v>
      </c>
      <c r="G24" s="120">
        <f t="shared" si="1"/>
        <v>1.0321763602251406</v>
      </c>
      <c r="H24" s="120">
        <f t="shared" si="3"/>
        <v>1.0733586967125159</v>
      </c>
      <c r="I24" s="125"/>
      <c r="J24" s="125"/>
      <c r="K24" s="125"/>
      <c r="L24" s="124"/>
      <c r="M24" s="124"/>
    </row>
    <row r="25" spans="1:13" s="28" customFormat="1" ht="15.75" customHeight="1">
      <c r="A25" s="25"/>
      <c r="B25" s="126" t="s">
        <v>223</v>
      </c>
      <c r="C25" s="35">
        <v>7048.7</v>
      </c>
      <c r="D25" s="35">
        <v>7785</v>
      </c>
      <c r="E25" s="35">
        <v>7898.9</v>
      </c>
      <c r="F25" s="35">
        <f t="shared" si="0"/>
        <v>113.89999999999964</v>
      </c>
      <c r="G25" s="127">
        <f t="shared" si="1"/>
        <v>1.0146307000642261</v>
      </c>
      <c r="H25" s="127">
        <f t="shared" si="3"/>
        <v>1.1206179862953451</v>
      </c>
      <c r="I25" s="129"/>
      <c r="J25" s="129"/>
      <c r="K25" s="129"/>
      <c r="L25" s="78"/>
      <c r="M25" s="78"/>
    </row>
    <row r="26" spans="1:13" s="28" customFormat="1" ht="15.75" customHeight="1">
      <c r="A26" s="25"/>
      <c r="B26" s="130" t="s">
        <v>220</v>
      </c>
      <c r="C26" s="35">
        <v>1152.0999999999999</v>
      </c>
      <c r="D26" s="35">
        <v>743</v>
      </c>
      <c r="E26" s="35">
        <v>903.5</v>
      </c>
      <c r="F26" s="35">
        <f t="shared" si="0"/>
        <v>160.5</v>
      </c>
      <c r="G26" s="127">
        <f t="shared" si="1"/>
        <v>1.2160161507402423</v>
      </c>
      <c r="H26" s="127">
        <f t="shared" si="3"/>
        <v>0.78422011978126904</v>
      </c>
      <c r="I26" s="129"/>
      <c r="J26" s="129">
        <v>897.2</v>
      </c>
      <c r="K26" s="129">
        <v>737</v>
      </c>
      <c r="L26" s="78">
        <v>877.6</v>
      </c>
      <c r="M26" s="78"/>
    </row>
    <row r="27" spans="1:13" s="33" customFormat="1" ht="31.5" customHeight="1">
      <c r="A27" s="32"/>
      <c r="B27" s="119" t="s">
        <v>47</v>
      </c>
      <c r="C27" s="52">
        <v>70.5</v>
      </c>
      <c r="D27" s="52">
        <v>164.8</v>
      </c>
      <c r="E27" s="52">
        <v>164.8</v>
      </c>
      <c r="F27" s="52">
        <f t="shared" si="0"/>
        <v>0</v>
      </c>
      <c r="G27" s="120">
        <f t="shared" si="1"/>
        <v>1</v>
      </c>
      <c r="H27" s="120">
        <f t="shared" si="3"/>
        <v>2.3375886524822698</v>
      </c>
      <c r="I27" s="125"/>
      <c r="J27" s="125"/>
      <c r="K27" s="125"/>
      <c r="L27" s="124"/>
      <c r="M27" s="124"/>
    </row>
    <row r="28" spans="1:13" s="33" customFormat="1" ht="15.75" customHeight="1">
      <c r="A28" s="36" t="s">
        <v>8</v>
      </c>
      <c r="B28" s="119" t="s">
        <v>48</v>
      </c>
      <c r="C28" s="52">
        <v>1861</v>
      </c>
      <c r="D28" s="52">
        <v>1153.8</v>
      </c>
      <c r="E28" s="52">
        <v>2242.6</v>
      </c>
      <c r="F28" s="52">
        <f t="shared" si="0"/>
        <v>1088.8</v>
      </c>
      <c r="G28" s="120">
        <f t="shared" si="1"/>
        <v>1.9436644132431964</v>
      </c>
      <c r="H28" s="120">
        <f t="shared" si="3"/>
        <v>1.2050510478237506</v>
      </c>
      <c r="I28" s="125"/>
      <c r="J28" s="125"/>
      <c r="K28" s="125"/>
      <c r="L28" s="124"/>
      <c r="M28" s="124"/>
    </row>
    <row r="29" spans="1:13" s="33" customFormat="1" ht="15.75" customHeight="1">
      <c r="A29" s="36" t="s">
        <v>8</v>
      </c>
      <c r="B29" s="119" t="s">
        <v>49</v>
      </c>
      <c r="C29" s="52">
        <v>-27.1</v>
      </c>
      <c r="D29" s="52">
        <v>17.899999999999999</v>
      </c>
      <c r="E29" s="52">
        <v>17.899999999999999</v>
      </c>
      <c r="F29" s="52">
        <f t="shared" si="0"/>
        <v>0</v>
      </c>
      <c r="G29" s="120">
        <f t="shared" si="1"/>
        <v>1</v>
      </c>
      <c r="H29" s="120"/>
      <c r="I29" s="125"/>
      <c r="J29" s="125"/>
      <c r="K29" s="125"/>
      <c r="L29" s="124"/>
      <c r="M29" s="124"/>
    </row>
    <row r="30" spans="1:13" s="30" customFormat="1" ht="20.100000000000001" customHeight="1">
      <c r="A30" s="29"/>
      <c r="B30" s="98" t="s">
        <v>51</v>
      </c>
      <c r="C30" s="99">
        <f>C31+C34+C48+C59+C67+C66+C68</f>
        <v>602775.79999999993</v>
      </c>
      <c r="D30" s="99">
        <f>D31+D34+D48+D59+D65+D66+D68</f>
        <v>679198.4</v>
      </c>
      <c r="E30" s="99">
        <f>E31+E34+E48+E59+E65+E66+E68</f>
        <v>661542.80000000005</v>
      </c>
      <c r="F30" s="99">
        <f t="shared" si="0"/>
        <v>-17655.599999999977</v>
      </c>
      <c r="G30" s="100">
        <f t="shared" si="1"/>
        <v>0.97400523911717107</v>
      </c>
      <c r="H30" s="100">
        <f>E30/C30</f>
        <v>1.0974939604410132</v>
      </c>
      <c r="I30" s="101"/>
      <c r="J30" s="111">
        <f>E30/E8</f>
        <v>0.9356737950072056</v>
      </c>
      <c r="K30" s="131">
        <f>E30-C30</f>
        <v>58767.000000000116</v>
      </c>
      <c r="L30" s="112">
        <f>K30/C30</f>
        <v>9.7493960441013258E-2</v>
      </c>
      <c r="M30" s="104"/>
    </row>
    <row r="31" spans="1:13" s="33" customFormat="1" ht="15.75" customHeight="1">
      <c r="A31" s="32"/>
      <c r="B31" s="119" t="s">
        <v>52</v>
      </c>
      <c r="C31" s="52">
        <f>C32+C33</f>
        <v>73491.899999999994</v>
      </c>
      <c r="D31" s="52">
        <f>D32+D33</f>
        <v>71631.100000000006</v>
      </c>
      <c r="E31" s="52">
        <f>E32+E33</f>
        <v>71631.100000000006</v>
      </c>
      <c r="F31" s="52">
        <f t="shared" si="0"/>
        <v>0</v>
      </c>
      <c r="G31" s="120">
        <f t="shared" si="1"/>
        <v>1</v>
      </c>
      <c r="H31" s="120">
        <f>E31/C31</f>
        <v>0.97468020285228729</v>
      </c>
      <c r="I31" s="125"/>
      <c r="J31" s="125"/>
      <c r="K31" s="131">
        <f>E31-C31</f>
        <v>-1860.7999999999884</v>
      </c>
      <c r="L31" s="112">
        <f>K31/C31</f>
        <v>-2.5319797147712722E-2</v>
      </c>
      <c r="M31" s="124"/>
    </row>
    <row r="32" spans="1:13" s="28" customFormat="1" ht="31.5" customHeight="1">
      <c r="A32" s="34" t="s">
        <v>12</v>
      </c>
      <c r="B32" s="126" t="s">
        <v>225</v>
      </c>
      <c r="C32" s="35">
        <v>73491.899999999994</v>
      </c>
      <c r="D32" s="35">
        <v>71631.100000000006</v>
      </c>
      <c r="E32" s="35">
        <v>71631.100000000006</v>
      </c>
      <c r="F32" s="35">
        <f t="shared" si="0"/>
        <v>0</v>
      </c>
      <c r="G32" s="127">
        <f t="shared" si="1"/>
        <v>1</v>
      </c>
      <c r="H32" s="127">
        <f>E32/C32</f>
        <v>0.97468020285228729</v>
      </c>
      <c r="I32" s="129"/>
      <c r="J32" s="129"/>
      <c r="K32" s="129"/>
      <c r="L32" s="78"/>
      <c r="M32" s="78"/>
    </row>
    <row r="33" spans="1:13" s="28" customFormat="1" ht="30" hidden="1" customHeight="1">
      <c r="A33" s="34" t="s">
        <v>12</v>
      </c>
      <c r="B33" s="126" t="s">
        <v>245</v>
      </c>
      <c r="C33" s="35"/>
      <c r="D33" s="35"/>
      <c r="E33" s="35"/>
      <c r="F33" s="35">
        <f t="shared" si="0"/>
        <v>0</v>
      </c>
      <c r="G33" s="127"/>
      <c r="H33" s="127"/>
      <c r="I33" s="129"/>
      <c r="J33" s="129"/>
      <c r="K33" s="129"/>
      <c r="L33" s="78"/>
      <c r="M33" s="78"/>
    </row>
    <row r="34" spans="1:13" s="33" customFormat="1" ht="15.75" customHeight="1">
      <c r="A34" s="32"/>
      <c r="B34" s="119" t="s">
        <v>53</v>
      </c>
      <c r="C34" s="52">
        <f>SUM(C35:C45)</f>
        <v>238734.2</v>
      </c>
      <c r="D34" s="52">
        <f>SUM(D35:D45)</f>
        <v>333526.09999999998</v>
      </c>
      <c r="E34" s="52">
        <f>SUM(E35:E45)</f>
        <v>317191.40000000002</v>
      </c>
      <c r="F34" s="52">
        <f t="shared" si="0"/>
        <v>-16334.699999999953</v>
      </c>
      <c r="G34" s="120">
        <f>E34/D34</f>
        <v>0.95102422269201736</v>
      </c>
      <c r="H34" s="120">
        <f>E34/C34</f>
        <v>1.3286382931310219</v>
      </c>
      <c r="I34" s="125"/>
      <c r="J34" s="125"/>
      <c r="K34" s="131">
        <f>E34-C34</f>
        <v>78457.200000000012</v>
      </c>
      <c r="L34" s="112">
        <f>K34/C34</f>
        <v>0.32863829313102189</v>
      </c>
      <c r="M34" s="124"/>
    </row>
    <row r="35" spans="1:13" s="28" customFormat="1" ht="30" hidden="1" customHeight="1">
      <c r="A35" s="34" t="s">
        <v>15</v>
      </c>
      <c r="B35" s="126" t="s">
        <v>246</v>
      </c>
      <c r="C35" s="35"/>
      <c r="D35" s="35"/>
      <c r="E35" s="35"/>
      <c r="F35" s="35">
        <f t="shared" si="0"/>
        <v>0</v>
      </c>
      <c r="G35" s="127"/>
      <c r="H35" s="127"/>
      <c r="I35" s="129"/>
      <c r="J35" s="129"/>
      <c r="K35" s="129"/>
      <c r="L35" s="78"/>
      <c r="M35" s="78"/>
    </row>
    <row r="36" spans="1:13" s="28" customFormat="1" ht="45" customHeight="1">
      <c r="A36" s="34" t="s">
        <v>15</v>
      </c>
      <c r="B36" s="126" t="s">
        <v>226</v>
      </c>
      <c r="C36" s="35">
        <v>534.29999999999995</v>
      </c>
      <c r="D36" s="35">
        <v>696.6</v>
      </c>
      <c r="E36" s="35">
        <v>696.6</v>
      </c>
      <c r="F36" s="35">
        <f t="shared" si="0"/>
        <v>0</v>
      </c>
      <c r="G36" s="127">
        <f>E36/D36</f>
        <v>1</v>
      </c>
      <c r="H36" s="127">
        <f>E36/C36</f>
        <v>1.303761931499158</v>
      </c>
      <c r="I36" s="129"/>
      <c r="J36" s="129"/>
      <c r="K36" s="129"/>
      <c r="L36" s="78"/>
      <c r="M36" s="78"/>
    </row>
    <row r="37" spans="1:13" s="28" customFormat="1" ht="45">
      <c r="A37" s="34"/>
      <c r="B37" s="126" t="s">
        <v>227</v>
      </c>
      <c r="C37" s="35">
        <v>35636.9</v>
      </c>
      <c r="D37" s="35">
        <v>22060.3</v>
      </c>
      <c r="E37" s="35">
        <v>21526.9</v>
      </c>
      <c r="F37" s="35">
        <f t="shared" si="0"/>
        <v>-533.39999999999782</v>
      </c>
      <c r="G37" s="127">
        <f>E37/D37</f>
        <v>0.97582081839322232</v>
      </c>
      <c r="H37" s="127">
        <f>E37/C37</f>
        <v>0.60406208171866804</v>
      </c>
      <c r="I37" s="129"/>
      <c r="J37" s="129"/>
      <c r="K37" s="129"/>
      <c r="L37" s="78"/>
      <c r="M37" s="78"/>
    </row>
    <row r="38" spans="1:13" s="28" customFormat="1" ht="30" hidden="1" customHeight="1">
      <c r="A38" s="34"/>
      <c r="B38" s="126" t="s">
        <v>247</v>
      </c>
      <c r="C38" s="35"/>
      <c r="D38" s="35"/>
      <c r="E38" s="35"/>
      <c r="F38" s="35"/>
      <c r="G38" s="127"/>
      <c r="H38" s="127"/>
      <c r="I38" s="129"/>
      <c r="J38" s="129"/>
      <c r="K38" s="129"/>
      <c r="L38" s="78"/>
      <c r="M38" s="78"/>
    </row>
    <row r="39" spans="1:13" s="28" customFormat="1" ht="31.5" customHeight="1">
      <c r="A39" s="34" t="s">
        <v>15</v>
      </c>
      <c r="B39" s="126" t="s">
        <v>228</v>
      </c>
      <c r="C39" s="35">
        <v>35279.5</v>
      </c>
      <c r="D39" s="35">
        <v>120136.2</v>
      </c>
      <c r="E39" s="35">
        <v>109319.2</v>
      </c>
      <c r="F39" s="35">
        <f>E39-D39</f>
        <v>-10817</v>
      </c>
      <c r="G39" s="127">
        <f>E39/D39</f>
        <v>0.90996052813390138</v>
      </c>
      <c r="H39" s="127">
        <f>E39/C39</f>
        <v>3.0986606953046385</v>
      </c>
      <c r="I39" s="129"/>
      <c r="J39" s="129"/>
      <c r="K39" s="129"/>
      <c r="L39" s="78"/>
      <c r="M39" s="78"/>
    </row>
    <row r="40" spans="1:13" s="28" customFormat="1" ht="31.5" customHeight="1">
      <c r="A40" s="34" t="s">
        <v>15</v>
      </c>
      <c r="B40" s="130" t="s">
        <v>243</v>
      </c>
      <c r="C40" s="35"/>
      <c r="D40" s="35">
        <v>5000</v>
      </c>
      <c r="E40" s="35"/>
      <c r="F40" s="35">
        <f>E40-D40</f>
        <v>-5000</v>
      </c>
      <c r="G40" s="127">
        <f>E40/D40</f>
        <v>0</v>
      </c>
      <c r="H40" s="127"/>
      <c r="I40" s="129"/>
      <c r="J40" s="129"/>
      <c r="K40" s="129"/>
      <c r="L40" s="78"/>
      <c r="M40" s="78"/>
    </row>
    <row r="41" spans="1:13" s="28" customFormat="1" ht="45" hidden="1" customHeight="1">
      <c r="A41" s="34"/>
      <c r="B41" s="126" t="s">
        <v>248</v>
      </c>
      <c r="C41" s="35"/>
      <c r="D41" s="35"/>
      <c r="E41" s="35"/>
      <c r="F41" s="35"/>
      <c r="G41" s="127"/>
      <c r="H41" s="127"/>
      <c r="I41" s="129"/>
      <c r="J41" s="129"/>
      <c r="K41" s="129"/>
      <c r="L41" s="78"/>
      <c r="M41" s="78"/>
    </row>
    <row r="42" spans="1:13" s="28" customFormat="1" ht="30" hidden="1" customHeight="1">
      <c r="A42" s="34"/>
      <c r="B42" s="126" t="s">
        <v>159</v>
      </c>
      <c r="C42" s="35"/>
      <c r="D42" s="35"/>
      <c r="E42" s="35"/>
      <c r="F42" s="35"/>
      <c r="G42" s="127"/>
      <c r="H42" s="127"/>
      <c r="I42" s="129"/>
      <c r="J42" s="129"/>
      <c r="K42" s="129"/>
      <c r="L42" s="78"/>
      <c r="M42" s="78"/>
    </row>
    <row r="43" spans="1:13" s="28" customFormat="1" ht="45">
      <c r="A43" s="34" t="s">
        <v>15</v>
      </c>
      <c r="B43" s="126" t="s">
        <v>229</v>
      </c>
      <c r="C43" s="35">
        <v>1328.4</v>
      </c>
      <c r="D43" s="35">
        <v>1100</v>
      </c>
      <c r="E43" s="35">
        <v>1100</v>
      </c>
      <c r="F43" s="35">
        <f>E43-D43</f>
        <v>0</v>
      </c>
      <c r="G43" s="127">
        <f>E43/D43</f>
        <v>1</v>
      </c>
      <c r="H43" s="127">
        <f>E43/C43</f>
        <v>0.82806383619391744</v>
      </c>
      <c r="I43" s="129"/>
      <c r="J43" s="129"/>
      <c r="K43" s="129"/>
      <c r="L43" s="78"/>
      <c r="M43" s="78"/>
    </row>
    <row r="44" spans="1:13" s="28" customFormat="1" ht="30" hidden="1" customHeight="1">
      <c r="A44" s="34" t="s">
        <v>15</v>
      </c>
      <c r="B44" s="126" t="s">
        <v>249</v>
      </c>
      <c r="C44" s="35"/>
      <c r="D44" s="35"/>
      <c r="E44" s="35"/>
      <c r="F44" s="35"/>
      <c r="G44" s="127"/>
      <c r="H44" s="127"/>
      <c r="I44" s="129"/>
      <c r="J44" s="129"/>
      <c r="K44" s="129"/>
      <c r="L44" s="78"/>
      <c r="M44" s="78"/>
    </row>
    <row r="45" spans="1:13" s="28" customFormat="1" ht="15.75" customHeight="1">
      <c r="A45" s="34" t="s">
        <v>15</v>
      </c>
      <c r="B45" s="126" t="s">
        <v>230</v>
      </c>
      <c r="C45" s="35">
        <v>165955.1</v>
      </c>
      <c r="D45" s="35">
        <v>184533</v>
      </c>
      <c r="E45" s="35">
        <v>184548.7</v>
      </c>
      <c r="F45" s="35">
        <f>E45-D45</f>
        <v>15.700000000011642</v>
      </c>
      <c r="G45" s="127">
        <f>E45/D45</f>
        <v>1.0000850796334531</v>
      </c>
      <c r="H45" s="127">
        <f>E45/C45</f>
        <v>1.1120399433340704</v>
      </c>
      <c r="I45" s="129"/>
      <c r="J45" s="129"/>
      <c r="K45" s="129"/>
      <c r="L45" s="78"/>
      <c r="M45" s="78"/>
    </row>
    <row r="46" spans="1:13" s="17" customFormat="1" ht="69.95" customHeight="1">
      <c r="A46" s="19" t="s">
        <v>5</v>
      </c>
      <c r="B46" s="84" t="s">
        <v>45</v>
      </c>
      <c r="C46" s="84" t="s">
        <v>185</v>
      </c>
      <c r="D46" s="84" t="s">
        <v>199</v>
      </c>
      <c r="E46" s="84" t="s">
        <v>191</v>
      </c>
      <c r="F46" s="85" t="s">
        <v>158</v>
      </c>
      <c r="G46" s="85" t="s">
        <v>192</v>
      </c>
      <c r="H46" s="85" t="s">
        <v>193</v>
      </c>
      <c r="I46" s="86"/>
      <c r="J46" s="86"/>
      <c r="K46" s="86"/>
      <c r="L46" s="87"/>
      <c r="M46" s="87"/>
    </row>
    <row r="47" spans="1:13" s="17" customFormat="1" ht="15" customHeight="1">
      <c r="A47" s="19">
        <v>1</v>
      </c>
      <c r="B47" s="84">
        <v>1</v>
      </c>
      <c r="C47" s="84">
        <v>2</v>
      </c>
      <c r="D47" s="84">
        <v>3</v>
      </c>
      <c r="E47" s="85">
        <v>4</v>
      </c>
      <c r="F47" s="85">
        <v>5</v>
      </c>
      <c r="G47" s="85">
        <v>6</v>
      </c>
      <c r="H47" s="85">
        <v>7</v>
      </c>
      <c r="I47" s="86"/>
      <c r="J47" s="86"/>
      <c r="K47" s="86"/>
      <c r="L47" s="87"/>
      <c r="M47" s="87"/>
    </row>
    <row r="48" spans="1:13" s="33" customFormat="1" ht="15.75" customHeight="1">
      <c r="A48" s="32"/>
      <c r="B48" s="119" t="s">
        <v>54</v>
      </c>
      <c r="C48" s="52">
        <f>SUM(C49:C58)</f>
        <v>284058.5</v>
      </c>
      <c r="D48" s="52">
        <f>SUM(D49:D58)</f>
        <v>261182.50000000003</v>
      </c>
      <c r="E48" s="52">
        <f>SUM(E49:E58)</f>
        <v>260372.90000000005</v>
      </c>
      <c r="F48" s="52">
        <f>E48-D48</f>
        <v>-809.59999999997672</v>
      </c>
      <c r="G48" s="120">
        <f>E48/D48</f>
        <v>0.996900251739684</v>
      </c>
      <c r="H48" s="120">
        <f>E48/C48</f>
        <v>0.91661717568740264</v>
      </c>
      <c r="I48" s="125"/>
      <c r="J48" s="125"/>
      <c r="K48" s="131">
        <f>E48-C48</f>
        <v>-23685.599999999948</v>
      </c>
      <c r="L48" s="112">
        <f>K48/C48</f>
        <v>-8.3382824312597401E-2</v>
      </c>
      <c r="M48" s="124"/>
    </row>
    <row r="49" spans="1:13" s="28" customFormat="1" ht="45" customHeight="1">
      <c r="A49" s="34" t="s">
        <v>15</v>
      </c>
      <c r="B49" s="126" t="s">
        <v>231</v>
      </c>
      <c r="C49" s="35">
        <v>5.0999999999999996</v>
      </c>
      <c r="D49" s="35">
        <v>4.5999999999999996</v>
      </c>
      <c r="E49" s="35">
        <v>4.5999999999999996</v>
      </c>
      <c r="F49" s="35">
        <f>E49-D49</f>
        <v>0</v>
      </c>
      <c r="G49" s="127">
        <f>E49/D49</f>
        <v>1</v>
      </c>
      <c r="H49" s="127">
        <f>E49/C49</f>
        <v>0.90196078431372551</v>
      </c>
      <c r="I49" s="129"/>
      <c r="J49" s="129"/>
      <c r="K49" s="129"/>
      <c r="L49" s="78"/>
      <c r="M49" s="78"/>
    </row>
    <row r="50" spans="1:13" s="28" customFormat="1" ht="45" customHeight="1">
      <c r="A50" s="34" t="s">
        <v>15</v>
      </c>
      <c r="B50" s="126" t="s">
        <v>232</v>
      </c>
      <c r="C50" s="35">
        <v>727</v>
      </c>
      <c r="D50" s="35">
        <v>774</v>
      </c>
      <c r="E50" s="35">
        <v>774</v>
      </c>
      <c r="F50" s="35">
        <f>E50-D50</f>
        <v>0</v>
      </c>
      <c r="G50" s="127">
        <f>E50/D50</f>
        <v>1</v>
      </c>
      <c r="H50" s="127">
        <f>E50/C50</f>
        <v>1.0646492434663</v>
      </c>
      <c r="I50" s="129"/>
      <c r="J50" s="129"/>
      <c r="K50" s="129"/>
      <c r="L50" s="78"/>
      <c r="M50" s="78"/>
    </row>
    <row r="51" spans="1:13" s="28" customFormat="1" ht="30" hidden="1" customHeight="1">
      <c r="A51" s="34" t="s">
        <v>15</v>
      </c>
      <c r="B51" s="126" t="s">
        <v>250</v>
      </c>
      <c r="C51" s="35"/>
      <c r="D51" s="35"/>
      <c r="E51" s="35"/>
      <c r="F51" s="35"/>
      <c r="G51" s="127"/>
      <c r="H51" s="127"/>
      <c r="I51" s="129"/>
      <c r="J51" s="129"/>
      <c r="K51" s="129"/>
      <c r="L51" s="78"/>
      <c r="M51" s="78"/>
    </row>
    <row r="52" spans="1:13" s="28" customFormat="1" ht="31.5" customHeight="1">
      <c r="A52" s="34" t="s">
        <v>15</v>
      </c>
      <c r="B52" s="126" t="s">
        <v>233</v>
      </c>
      <c r="C52" s="35">
        <v>268676.90000000002</v>
      </c>
      <c r="D52" s="35">
        <v>253459.7</v>
      </c>
      <c r="E52" s="35">
        <v>252650.2</v>
      </c>
      <c r="F52" s="35">
        <f>E52-D52</f>
        <v>-809.5</v>
      </c>
      <c r="G52" s="127">
        <f>E52/D52</f>
        <v>0.99680619838183349</v>
      </c>
      <c r="H52" s="127">
        <f>E52/C52</f>
        <v>0.9403495425174252</v>
      </c>
      <c r="I52" s="129"/>
      <c r="J52" s="129"/>
      <c r="K52" s="129"/>
      <c r="L52" s="78"/>
      <c r="M52" s="78"/>
    </row>
    <row r="53" spans="1:13" s="28" customFormat="1" ht="60" customHeight="1">
      <c r="A53" s="34" t="s">
        <v>15</v>
      </c>
      <c r="B53" s="126" t="s">
        <v>234</v>
      </c>
      <c r="C53" s="35">
        <v>14649.5</v>
      </c>
      <c r="D53" s="35">
        <v>3519.3</v>
      </c>
      <c r="E53" s="35">
        <v>3519.2</v>
      </c>
      <c r="F53" s="35">
        <f>E53-D53</f>
        <v>-0.1000000000003638</v>
      </c>
      <c r="G53" s="127">
        <f>E53/D53</f>
        <v>0.99997158525843199</v>
      </c>
      <c r="H53" s="127">
        <f>E53/C53</f>
        <v>0.24022662889518412</v>
      </c>
      <c r="I53" s="129"/>
      <c r="J53" s="129"/>
      <c r="K53" s="129"/>
      <c r="L53" s="78"/>
      <c r="M53" s="78"/>
    </row>
    <row r="54" spans="1:13" s="28" customFormat="1" ht="45" hidden="1" customHeight="1">
      <c r="A54" s="34" t="s">
        <v>15</v>
      </c>
      <c r="B54" s="126" t="s">
        <v>251</v>
      </c>
      <c r="C54" s="35"/>
      <c r="D54" s="35"/>
      <c r="E54" s="35"/>
      <c r="F54" s="35"/>
      <c r="G54" s="127"/>
      <c r="H54" s="127"/>
      <c r="I54" s="129"/>
      <c r="J54" s="129"/>
      <c r="K54" s="129"/>
      <c r="L54" s="78"/>
      <c r="M54" s="78"/>
    </row>
    <row r="55" spans="1:13" s="28" customFormat="1" ht="60" hidden="1" customHeight="1">
      <c r="A55" s="34" t="s">
        <v>15</v>
      </c>
      <c r="B55" s="126" t="s">
        <v>252</v>
      </c>
      <c r="C55" s="35"/>
      <c r="D55" s="35"/>
      <c r="E55" s="35"/>
      <c r="F55" s="35"/>
      <c r="G55" s="127"/>
      <c r="H55" s="127"/>
      <c r="I55" s="129"/>
      <c r="J55" s="129"/>
      <c r="K55" s="129"/>
      <c r="L55" s="78"/>
      <c r="M55" s="78"/>
    </row>
    <row r="56" spans="1:13" s="28" customFormat="1" ht="75" customHeight="1">
      <c r="A56" s="34" t="s">
        <v>15</v>
      </c>
      <c r="B56" s="126" t="s">
        <v>235</v>
      </c>
      <c r="C56" s="35"/>
      <c r="D56" s="35">
        <v>2737.7</v>
      </c>
      <c r="E56" s="35">
        <v>2737.7</v>
      </c>
      <c r="F56" s="35">
        <f>E56-D56</f>
        <v>0</v>
      </c>
      <c r="G56" s="127">
        <f>E56/D56</f>
        <v>1</v>
      </c>
      <c r="H56" s="127"/>
      <c r="I56" s="129"/>
      <c r="J56" s="129"/>
      <c r="K56" s="129"/>
      <c r="L56" s="78"/>
      <c r="M56" s="78"/>
    </row>
    <row r="57" spans="1:13" s="28" customFormat="1" ht="60" customHeight="1">
      <c r="A57" s="34" t="s">
        <v>15</v>
      </c>
      <c r="B57" s="126" t="s">
        <v>236</v>
      </c>
      <c r="C57" s="35"/>
      <c r="D57" s="35">
        <v>687.2</v>
      </c>
      <c r="E57" s="35">
        <v>687.2</v>
      </c>
      <c r="F57" s="35">
        <f>E57-D57</f>
        <v>0</v>
      </c>
      <c r="G57" s="127">
        <f>E57/D57</f>
        <v>1</v>
      </c>
      <c r="H57" s="127"/>
      <c r="I57" s="129"/>
      <c r="J57" s="129"/>
      <c r="K57" s="129"/>
      <c r="L57" s="78"/>
      <c r="M57" s="78"/>
    </row>
    <row r="58" spans="1:13" s="28" customFormat="1" ht="15" hidden="1" customHeight="1">
      <c r="A58" s="34" t="s">
        <v>15</v>
      </c>
      <c r="B58" s="126" t="s">
        <v>253</v>
      </c>
      <c r="C58" s="35"/>
      <c r="D58" s="35"/>
      <c r="E58" s="35"/>
      <c r="F58" s="35"/>
      <c r="G58" s="127"/>
      <c r="H58" s="127"/>
      <c r="I58" s="129"/>
      <c r="J58" s="129"/>
      <c r="K58" s="129"/>
      <c r="L58" s="78"/>
      <c r="M58" s="78"/>
    </row>
    <row r="59" spans="1:13" s="33" customFormat="1" ht="15.75" customHeight="1">
      <c r="A59" s="32"/>
      <c r="B59" s="119" t="s">
        <v>55</v>
      </c>
      <c r="C59" s="52">
        <f>SUM(C60:C64)</f>
        <v>9855.9</v>
      </c>
      <c r="D59" s="52">
        <f>SUM(D60:D64)</f>
        <v>10910.8</v>
      </c>
      <c r="E59" s="52">
        <f>SUM(E60:E64)</f>
        <v>10399.5</v>
      </c>
      <c r="F59" s="52">
        <f t="shared" ref="F59:F65" si="4">E59-D59</f>
        <v>-511.29999999999927</v>
      </c>
      <c r="G59" s="120">
        <f t="shared" ref="G59:G65" si="5">E59/D59</f>
        <v>0.95313817501924702</v>
      </c>
      <c r="H59" s="120">
        <f>E59/C59</f>
        <v>1.0551547803853529</v>
      </c>
      <c r="I59" s="125"/>
      <c r="J59" s="125"/>
      <c r="K59" s="131">
        <f>E59-C59</f>
        <v>543.60000000000036</v>
      </c>
      <c r="L59" s="112">
        <f>K59/C59</f>
        <v>5.5154780385352972E-2</v>
      </c>
      <c r="M59" s="124"/>
    </row>
    <row r="60" spans="1:13" s="28" customFormat="1" ht="60" customHeight="1">
      <c r="A60" s="34" t="s">
        <v>15</v>
      </c>
      <c r="B60" s="126" t="s">
        <v>237</v>
      </c>
      <c r="C60" s="35">
        <v>551.5</v>
      </c>
      <c r="D60" s="35">
        <v>6851.1</v>
      </c>
      <c r="E60" s="35">
        <v>6367.6</v>
      </c>
      <c r="F60" s="35">
        <f t="shared" si="4"/>
        <v>-483.5</v>
      </c>
      <c r="G60" s="127">
        <f t="shared" si="5"/>
        <v>0.92942739122184759</v>
      </c>
      <c r="H60" s="127">
        <f>E60/C60</f>
        <v>11.54596554850408</v>
      </c>
      <c r="I60" s="129"/>
      <c r="J60" s="129"/>
      <c r="K60" s="129"/>
      <c r="L60" s="78"/>
      <c r="M60" s="78"/>
    </row>
    <row r="61" spans="1:13" s="28" customFormat="1" ht="60" customHeight="1">
      <c r="A61" s="34" t="s">
        <v>15</v>
      </c>
      <c r="B61" s="126" t="s">
        <v>238</v>
      </c>
      <c r="C61" s="35">
        <v>866.5</v>
      </c>
      <c r="D61" s="35">
        <v>1479.8</v>
      </c>
      <c r="E61" s="35">
        <v>1452</v>
      </c>
      <c r="F61" s="35">
        <f t="shared" si="4"/>
        <v>-27.799999999999955</v>
      </c>
      <c r="G61" s="127">
        <f t="shared" si="5"/>
        <v>0.9812136775239898</v>
      </c>
      <c r="H61" s="127">
        <f>E61/C61</f>
        <v>1.6757068667051356</v>
      </c>
      <c r="I61" s="129"/>
      <c r="J61" s="129"/>
      <c r="K61" s="129"/>
      <c r="L61" s="78"/>
      <c r="M61" s="78"/>
    </row>
    <row r="62" spans="1:13" s="28" customFormat="1" ht="45" customHeight="1">
      <c r="A62" s="34" t="s">
        <v>15</v>
      </c>
      <c r="B62" s="126" t="s">
        <v>239</v>
      </c>
      <c r="C62" s="35"/>
      <c r="D62" s="35">
        <v>12</v>
      </c>
      <c r="E62" s="35">
        <v>12</v>
      </c>
      <c r="F62" s="35">
        <f t="shared" si="4"/>
        <v>0</v>
      </c>
      <c r="G62" s="127">
        <f t="shared" si="5"/>
        <v>1</v>
      </c>
      <c r="H62" s="127"/>
      <c r="I62" s="129"/>
      <c r="J62" s="129"/>
      <c r="K62" s="129"/>
      <c r="L62" s="78"/>
      <c r="M62" s="78"/>
    </row>
    <row r="63" spans="1:13" s="28" customFormat="1" ht="75" hidden="1" customHeight="1">
      <c r="A63" s="34" t="s">
        <v>15</v>
      </c>
      <c r="B63" s="126" t="s">
        <v>56</v>
      </c>
      <c r="C63" s="35"/>
      <c r="D63" s="35"/>
      <c r="E63" s="35"/>
      <c r="F63" s="35">
        <f t="shared" si="4"/>
        <v>0</v>
      </c>
      <c r="G63" s="127" t="e">
        <f t="shared" si="5"/>
        <v>#DIV/0!</v>
      </c>
      <c r="H63" s="127" t="e">
        <f>E63/C63</f>
        <v>#DIV/0!</v>
      </c>
      <c r="I63" s="129"/>
      <c r="J63" s="129"/>
      <c r="K63" s="129"/>
      <c r="L63" s="78"/>
      <c r="M63" s="78"/>
    </row>
    <row r="64" spans="1:13" s="28" customFormat="1" ht="31.5" customHeight="1">
      <c r="A64" s="34" t="s">
        <v>15</v>
      </c>
      <c r="B64" s="126" t="s">
        <v>240</v>
      </c>
      <c r="C64" s="35">
        <v>8437.9</v>
      </c>
      <c r="D64" s="35">
        <v>2567.9</v>
      </c>
      <c r="E64" s="35">
        <v>2567.9</v>
      </c>
      <c r="F64" s="35">
        <f t="shared" si="4"/>
        <v>0</v>
      </c>
      <c r="G64" s="127">
        <f t="shared" si="5"/>
        <v>1</v>
      </c>
      <c r="H64" s="127">
        <f>E64/C64</f>
        <v>0.30432927624171896</v>
      </c>
      <c r="I64" s="129"/>
      <c r="J64" s="129"/>
      <c r="K64" s="129"/>
      <c r="L64" s="78"/>
      <c r="M64" s="78"/>
    </row>
    <row r="65" spans="1:13" s="77" customFormat="1" ht="15.75" customHeight="1">
      <c r="A65" s="76" t="s">
        <v>15</v>
      </c>
      <c r="B65" s="132" t="s">
        <v>244</v>
      </c>
      <c r="C65" s="133"/>
      <c r="D65" s="133">
        <v>1947.9</v>
      </c>
      <c r="E65" s="133">
        <v>1947.9</v>
      </c>
      <c r="F65" s="133">
        <f t="shared" si="4"/>
        <v>0</v>
      </c>
      <c r="G65" s="134">
        <f t="shared" si="5"/>
        <v>1</v>
      </c>
      <c r="H65" s="134"/>
      <c r="I65" s="135"/>
      <c r="J65" s="135"/>
      <c r="K65" s="135"/>
      <c r="L65" s="136"/>
      <c r="M65" s="136"/>
    </row>
    <row r="66" spans="1:13" s="33" customFormat="1" ht="31.5" customHeight="1">
      <c r="A66" s="36" t="s">
        <v>15</v>
      </c>
      <c r="B66" s="119" t="s">
        <v>160</v>
      </c>
      <c r="C66" s="52">
        <v>10</v>
      </c>
      <c r="D66" s="52"/>
      <c r="E66" s="52"/>
      <c r="F66" s="52"/>
      <c r="G66" s="120"/>
      <c r="H66" s="120"/>
      <c r="I66" s="125"/>
      <c r="J66" s="125"/>
      <c r="K66" s="125"/>
      <c r="L66" s="124"/>
      <c r="M66" s="124"/>
    </row>
    <row r="67" spans="1:13" s="33" customFormat="1" ht="31.5" customHeight="1">
      <c r="A67" s="36" t="s">
        <v>15</v>
      </c>
      <c r="B67" s="119" t="s">
        <v>241</v>
      </c>
      <c r="C67" s="52">
        <v>100.1</v>
      </c>
      <c r="D67" s="52"/>
      <c r="E67" s="52"/>
      <c r="F67" s="52"/>
      <c r="G67" s="120"/>
      <c r="H67" s="120"/>
      <c r="I67" s="125"/>
      <c r="J67" s="125"/>
      <c r="K67" s="125"/>
      <c r="L67" s="124"/>
      <c r="M67" s="124"/>
    </row>
    <row r="68" spans="1:13" s="33" customFormat="1" ht="45" customHeight="1">
      <c r="A68" s="36" t="s">
        <v>15</v>
      </c>
      <c r="B68" s="119" t="s">
        <v>242</v>
      </c>
      <c r="C68" s="52">
        <v>-3474.8</v>
      </c>
      <c r="D68" s="52"/>
      <c r="E68" s="52"/>
      <c r="F68" s="52"/>
      <c r="G68" s="120"/>
      <c r="H68" s="120"/>
      <c r="I68" s="125"/>
      <c r="J68" s="125"/>
      <c r="K68" s="125"/>
      <c r="L68" s="124"/>
      <c r="M68" s="124"/>
    </row>
    <row r="69" spans="1:13" ht="15.75">
      <c r="A69" s="1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78"/>
      <c r="M69" s="78"/>
    </row>
    <row r="70" spans="1:13" ht="15.75" hidden="1">
      <c r="A70" s="1"/>
      <c r="B70" s="80"/>
      <c r="C70" s="80"/>
      <c r="D70" s="80"/>
      <c r="E70" s="94">
        <f>E8-E48</f>
        <v>446650</v>
      </c>
      <c r="F70" s="80"/>
      <c r="G70" s="80"/>
      <c r="H70" s="80"/>
      <c r="I70" s="80"/>
      <c r="J70" s="80"/>
      <c r="K70" s="80"/>
      <c r="L70" s="78"/>
      <c r="M70" s="78"/>
    </row>
    <row r="71" spans="1:13" ht="15.75">
      <c r="A71" s="1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78"/>
      <c r="M71" s="78"/>
    </row>
    <row r="72" spans="1:13" ht="15.75">
      <c r="A72" s="1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78"/>
      <c r="M72" s="78"/>
    </row>
    <row r="73" spans="1:13" ht="15.75">
      <c r="A73" s="1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78"/>
      <c r="M73" s="78"/>
    </row>
    <row r="74" spans="1:13" ht="15.75">
      <c r="A74" s="1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78"/>
      <c r="M74" s="78"/>
    </row>
    <row r="75" spans="1:13" ht="15.75">
      <c r="A75" s="1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78"/>
      <c r="M75" s="78"/>
    </row>
    <row r="76" spans="1:13" ht="15.75">
      <c r="A76" s="1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78"/>
      <c r="M76" s="78"/>
    </row>
    <row r="77" spans="1:13" ht="15.75">
      <c r="A77" s="1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78"/>
      <c r="M77" s="78"/>
    </row>
    <row r="78" spans="1:13" ht="15.75">
      <c r="A78" s="1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78"/>
      <c r="M78" s="78"/>
    </row>
    <row r="79" spans="1:13" ht="15.75">
      <c r="A79" s="1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78"/>
      <c r="M79" s="78"/>
    </row>
    <row r="80" spans="1:13" ht="15.75">
      <c r="A80" s="1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78"/>
      <c r="M80" s="78"/>
    </row>
    <row r="81" spans="1:13" ht="15.75">
      <c r="A81" s="1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78"/>
      <c r="M81" s="78"/>
    </row>
    <row r="82" spans="1:13" ht="15.75">
      <c r="A82" s="1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78"/>
      <c r="M82" s="78"/>
    </row>
    <row r="83" spans="1:13" ht="15.75">
      <c r="A83" s="1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78"/>
      <c r="M83" s="78"/>
    </row>
  </sheetData>
  <mergeCells count="3">
    <mergeCell ref="G1:H1"/>
    <mergeCell ref="A3:H3"/>
    <mergeCell ref="G5:H5"/>
  </mergeCells>
  <phoneticPr fontId="0" type="noConversion"/>
  <pageMargins left="0.98425196850393704" right="0.39370078740157483" top="0.59055118110236227" bottom="0.59055118110236227" header="0.31496062992125984" footer="0.31496062992125984"/>
  <pageSetup paperSize="9"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pane ySplit="7" topLeftCell="A54" activePane="bottomLeft" state="frozen"/>
      <selection pane="bottomLeft" activeCell="A8" sqref="A8"/>
    </sheetView>
  </sheetViews>
  <sheetFormatPr defaultRowHeight="15"/>
  <cols>
    <col min="1" max="1" width="6.7109375" style="38" customWidth="1"/>
    <col min="2" max="2" width="40.7109375" customWidth="1"/>
    <col min="3" max="9" width="10.7109375" customWidth="1"/>
    <col min="10" max="10" width="10.28515625" customWidth="1"/>
    <col min="11" max="11" width="10.7109375" hidden="1" customWidth="1"/>
    <col min="12" max="13" width="10.7109375" style="28" hidden="1" customWidth="1"/>
  </cols>
  <sheetData>
    <row r="1" spans="1:14" ht="15.75" customHeight="1">
      <c r="A1" s="79"/>
      <c r="B1" s="80"/>
      <c r="C1" s="80"/>
      <c r="D1" s="80"/>
      <c r="E1" s="80"/>
      <c r="F1" s="80"/>
      <c r="G1" s="142" t="s">
        <v>256</v>
      </c>
      <c r="H1" s="142"/>
      <c r="I1" s="142"/>
      <c r="J1" s="142"/>
      <c r="K1" s="80"/>
      <c r="L1" s="80"/>
      <c r="M1" s="80"/>
      <c r="N1" s="78"/>
    </row>
    <row r="2" spans="1:14" ht="11.25" customHeight="1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78"/>
    </row>
    <row r="3" spans="1:14" ht="22.5" customHeight="1">
      <c r="A3" s="140" t="s">
        <v>200</v>
      </c>
      <c r="B3" s="140"/>
      <c r="C3" s="140"/>
      <c r="D3" s="140"/>
      <c r="E3" s="140"/>
      <c r="F3" s="140"/>
      <c r="G3" s="140"/>
      <c r="H3" s="140"/>
      <c r="I3" s="140"/>
      <c r="J3" s="140"/>
      <c r="K3" s="80"/>
      <c r="L3" s="80"/>
      <c r="M3" s="80"/>
      <c r="N3" s="78"/>
    </row>
    <row r="4" spans="1:14" ht="9" customHeight="1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78"/>
    </row>
    <row r="5" spans="1:14" s="3" customFormat="1" ht="20.100000000000001" customHeight="1">
      <c r="A5" s="81"/>
      <c r="B5" s="82"/>
      <c r="C5" s="82"/>
      <c r="D5" s="82"/>
      <c r="E5" s="82"/>
      <c r="F5" s="82"/>
      <c r="G5" s="82"/>
      <c r="H5" s="141" t="s">
        <v>179</v>
      </c>
      <c r="I5" s="141"/>
      <c r="J5" s="141"/>
      <c r="K5" s="82"/>
      <c r="L5" s="82"/>
      <c r="M5" s="82"/>
      <c r="N5" s="83"/>
    </row>
    <row r="6" spans="1:14" s="17" customFormat="1" ht="80.099999999999994" customHeight="1">
      <c r="A6" s="84" t="s">
        <v>59</v>
      </c>
      <c r="B6" s="84" t="s">
        <v>45</v>
      </c>
      <c r="C6" s="84" t="s">
        <v>185</v>
      </c>
      <c r="D6" s="84" t="s">
        <v>213</v>
      </c>
      <c r="E6" s="84" t="s">
        <v>199</v>
      </c>
      <c r="F6" s="84" t="s">
        <v>191</v>
      </c>
      <c r="G6" s="85" t="s">
        <v>36</v>
      </c>
      <c r="H6" s="85" t="s">
        <v>154</v>
      </c>
      <c r="I6" s="85" t="s">
        <v>201</v>
      </c>
      <c r="J6" s="85" t="s">
        <v>202</v>
      </c>
      <c r="K6" s="86"/>
      <c r="L6" s="86"/>
      <c r="M6" s="86"/>
      <c r="N6" s="87"/>
    </row>
    <row r="7" spans="1:14" s="17" customFormat="1" ht="15" customHeight="1">
      <c r="A7" s="84">
        <v>1</v>
      </c>
      <c r="B7" s="84">
        <v>2</v>
      </c>
      <c r="C7" s="84">
        <v>3</v>
      </c>
      <c r="D7" s="84">
        <v>4</v>
      </c>
      <c r="E7" s="85">
        <v>5</v>
      </c>
      <c r="F7" s="85">
        <v>6</v>
      </c>
      <c r="G7" s="85">
        <v>7</v>
      </c>
      <c r="H7" s="85">
        <v>8</v>
      </c>
      <c r="I7" s="85">
        <v>9</v>
      </c>
      <c r="J7" s="85">
        <v>10</v>
      </c>
      <c r="K7" s="86"/>
      <c r="L7" s="86"/>
      <c r="M7" s="86"/>
      <c r="N7" s="87"/>
    </row>
    <row r="8" spans="1:14" s="6" customFormat="1" ht="20.100000000000001" customHeight="1">
      <c r="A8" s="88"/>
      <c r="B8" s="89" t="s">
        <v>58</v>
      </c>
      <c r="C8" s="90">
        <f>C9+C19+C22+C25+C34+C38+C40+C46+C48+C54+C57-0.1</f>
        <v>663776.59999999986</v>
      </c>
      <c r="D8" s="90">
        <f>D9+D19+D22+D25+D34+D38+D40+D46+D48+D54+D57</f>
        <v>703027</v>
      </c>
      <c r="E8" s="90">
        <f>E9+E19+E22+E25+E34+E38+E40+E46+E48+E54+E57</f>
        <v>736522.89999999991</v>
      </c>
      <c r="F8" s="90">
        <f>F9+F19+F22+F25+F34+F38+F40+F46+F48+F54+F57</f>
        <v>715485.9</v>
      </c>
      <c r="G8" s="91">
        <f t="shared" ref="G8:G14" si="0">F8-E8</f>
        <v>-21036.999999999884</v>
      </c>
      <c r="H8" s="91">
        <f t="shared" ref="H8:H14" si="1">F8-C8</f>
        <v>51709.300000000163</v>
      </c>
      <c r="I8" s="92">
        <f t="shared" ref="I8:I14" si="2">F8/E8</f>
        <v>0.97143741219723123</v>
      </c>
      <c r="J8" s="92">
        <f t="shared" ref="J8:J14" si="3">F8/C8</f>
        <v>1.0779016614927375</v>
      </c>
      <c r="K8" s="93"/>
      <c r="L8" s="94">
        <f>E8-D8</f>
        <v>33495.899999999907</v>
      </c>
      <c r="M8" s="95">
        <f>L8/D8</f>
        <v>4.7645254022960576E-2</v>
      </c>
      <c r="N8" s="96"/>
    </row>
    <row r="9" spans="1:14" s="30" customFormat="1" ht="30" customHeight="1">
      <c r="A9" s="97" t="s">
        <v>61</v>
      </c>
      <c r="B9" s="98" t="s">
        <v>79</v>
      </c>
      <c r="C9" s="99">
        <f>SUM(C10:C14)+SUM(C16:C18)</f>
        <v>44163.700000000004</v>
      </c>
      <c r="D9" s="99">
        <f>SUM(D10:D14)+SUM(D16:D18)</f>
        <v>44641.7</v>
      </c>
      <c r="E9" s="99">
        <f>SUM(E10:E14)+SUM(E16:E18)</f>
        <v>43860.6</v>
      </c>
      <c r="F9" s="99">
        <f>SUM(F10:F14)+SUM(F16:F18)+0.1</f>
        <v>43028.499999999993</v>
      </c>
      <c r="G9" s="99">
        <f t="shared" si="0"/>
        <v>-832.10000000000582</v>
      </c>
      <c r="H9" s="99">
        <f t="shared" si="1"/>
        <v>-1135.2000000000116</v>
      </c>
      <c r="I9" s="100">
        <f t="shared" si="2"/>
        <v>0.9810285313014413</v>
      </c>
      <c r="J9" s="100">
        <f t="shared" si="3"/>
        <v>0.97429563193301261</v>
      </c>
      <c r="K9" s="101"/>
      <c r="L9" s="102">
        <f t="shared" ref="L9:L14" si="4">F9-C9</f>
        <v>-1135.2000000000116</v>
      </c>
      <c r="M9" s="103">
        <f t="shared" ref="M9:M14" si="5">L9/C9</f>
        <v>-2.5704368066987403E-2</v>
      </c>
      <c r="N9" s="104"/>
    </row>
    <row r="10" spans="1:14" s="39" customFormat="1" ht="45" customHeight="1">
      <c r="A10" s="105" t="s">
        <v>60</v>
      </c>
      <c r="B10" s="106" t="s">
        <v>67</v>
      </c>
      <c r="C10" s="20">
        <v>1446.5</v>
      </c>
      <c r="D10" s="20">
        <v>1486.6</v>
      </c>
      <c r="E10" s="20">
        <v>1486.6</v>
      </c>
      <c r="F10" s="20">
        <v>1466.1</v>
      </c>
      <c r="G10" s="20">
        <f t="shared" si="0"/>
        <v>-20.5</v>
      </c>
      <c r="H10" s="20">
        <f t="shared" si="1"/>
        <v>19.599999999999909</v>
      </c>
      <c r="I10" s="107">
        <f t="shared" si="2"/>
        <v>0.98621014395264361</v>
      </c>
      <c r="J10" s="107">
        <f t="shared" si="3"/>
        <v>1.0135499481507086</v>
      </c>
      <c r="K10" s="80"/>
      <c r="L10" s="102">
        <f t="shared" si="4"/>
        <v>19.599999999999909</v>
      </c>
      <c r="M10" s="103">
        <f t="shared" si="5"/>
        <v>1.3549948150708544E-2</v>
      </c>
      <c r="N10" s="108"/>
    </row>
    <row r="11" spans="1:14" s="39" customFormat="1" ht="78" customHeight="1">
      <c r="A11" s="105" t="s">
        <v>62</v>
      </c>
      <c r="B11" s="106" t="s">
        <v>66</v>
      </c>
      <c r="C11" s="20">
        <v>2687.3</v>
      </c>
      <c r="D11" s="20">
        <v>2672.2</v>
      </c>
      <c r="E11" s="20">
        <v>2725.5</v>
      </c>
      <c r="F11" s="20">
        <v>2702</v>
      </c>
      <c r="G11" s="20">
        <f t="shared" si="0"/>
        <v>-23.5</v>
      </c>
      <c r="H11" s="20">
        <f t="shared" si="1"/>
        <v>14.699999999999818</v>
      </c>
      <c r="I11" s="107">
        <f t="shared" si="2"/>
        <v>0.99137772885709041</v>
      </c>
      <c r="J11" s="107">
        <f t="shared" si="3"/>
        <v>1.0054701745246157</v>
      </c>
      <c r="K11" s="80"/>
      <c r="L11" s="102">
        <f t="shared" si="4"/>
        <v>14.699999999999818</v>
      </c>
      <c r="M11" s="103">
        <f t="shared" si="5"/>
        <v>5.4701745246157176E-3</v>
      </c>
      <c r="N11" s="108"/>
    </row>
    <row r="12" spans="1:14" s="39" customFormat="1" ht="78" customHeight="1">
      <c r="A12" s="105" t="s">
        <v>63</v>
      </c>
      <c r="B12" s="106" t="s">
        <v>68</v>
      </c>
      <c r="C12" s="20">
        <v>34186.400000000001</v>
      </c>
      <c r="D12" s="20">
        <v>32623</v>
      </c>
      <c r="E12" s="20">
        <v>30962.400000000001</v>
      </c>
      <c r="F12" s="20">
        <v>30695.5</v>
      </c>
      <c r="G12" s="20">
        <f t="shared" si="0"/>
        <v>-266.90000000000146</v>
      </c>
      <c r="H12" s="20">
        <f t="shared" si="1"/>
        <v>-3490.9000000000015</v>
      </c>
      <c r="I12" s="107">
        <f t="shared" si="2"/>
        <v>0.99137986719375759</v>
      </c>
      <c r="J12" s="107">
        <f t="shared" si="3"/>
        <v>0.89788629396485153</v>
      </c>
      <c r="K12" s="80"/>
      <c r="L12" s="102">
        <f t="shared" si="4"/>
        <v>-3490.9000000000015</v>
      </c>
      <c r="M12" s="103">
        <f t="shared" si="5"/>
        <v>-0.10211370603514852</v>
      </c>
      <c r="N12" s="108"/>
    </row>
    <row r="13" spans="1:14" s="39" customFormat="1" ht="15" customHeight="1">
      <c r="A13" s="105" t="s">
        <v>150</v>
      </c>
      <c r="B13" s="106" t="s">
        <v>151</v>
      </c>
      <c r="C13" s="20">
        <v>5.0999999999999996</v>
      </c>
      <c r="D13" s="20"/>
      <c r="E13" s="20">
        <v>4.5999999999999996</v>
      </c>
      <c r="F13" s="20">
        <v>4.5999999999999996</v>
      </c>
      <c r="G13" s="20">
        <f t="shared" si="0"/>
        <v>0</v>
      </c>
      <c r="H13" s="20">
        <f t="shared" si="1"/>
        <v>-0.5</v>
      </c>
      <c r="I13" s="107">
        <f t="shared" si="2"/>
        <v>1</v>
      </c>
      <c r="J13" s="107">
        <f t="shared" si="3"/>
        <v>0.90196078431372551</v>
      </c>
      <c r="K13" s="80"/>
      <c r="L13" s="102">
        <f t="shared" si="4"/>
        <v>-0.5</v>
      </c>
      <c r="M13" s="103">
        <f t="shared" si="5"/>
        <v>-9.8039215686274522E-2</v>
      </c>
      <c r="N13" s="108"/>
    </row>
    <row r="14" spans="1:14" s="39" customFormat="1" ht="60" customHeight="1">
      <c r="A14" s="105" t="s">
        <v>64</v>
      </c>
      <c r="B14" s="106" t="s">
        <v>69</v>
      </c>
      <c r="C14" s="20">
        <v>2160</v>
      </c>
      <c r="D14" s="20">
        <v>2267.1999999999998</v>
      </c>
      <c r="E14" s="20">
        <v>2238.6999999999998</v>
      </c>
      <c r="F14" s="20">
        <v>2236</v>
      </c>
      <c r="G14" s="20">
        <f t="shared" si="0"/>
        <v>-2.6999999999998181</v>
      </c>
      <c r="H14" s="20">
        <f t="shared" si="1"/>
        <v>76</v>
      </c>
      <c r="I14" s="107">
        <f t="shared" si="2"/>
        <v>0.99879394291329793</v>
      </c>
      <c r="J14" s="107">
        <f t="shared" si="3"/>
        <v>1.0351851851851852</v>
      </c>
      <c r="K14" s="80"/>
      <c r="L14" s="102">
        <f t="shared" si="4"/>
        <v>76</v>
      </c>
      <c r="M14" s="103">
        <f t="shared" si="5"/>
        <v>3.5185185185185187E-2</v>
      </c>
      <c r="N14" s="108"/>
    </row>
    <row r="15" spans="1:14" s="17" customFormat="1" ht="15" customHeight="1">
      <c r="A15" s="84">
        <v>1</v>
      </c>
      <c r="B15" s="84">
        <v>2</v>
      </c>
      <c r="C15" s="84">
        <v>3</v>
      </c>
      <c r="D15" s="84">
        <v>4</v>
      </c>
      <c r="E15" s="85">
        <v>5</v>
      </c>
      <c r="F15" s="85">
        <v>6</v>
      </c>
      <c r="G15" s="85">
        <v>7</v>
      </c>
      <c r="H15" s="85">
        <v>8</v>
      </c>
      <c r="I15" s="85">
        <v>9</v>
      </c>
      <c r="J15" s="85">
        <v>10</v>
      </c>
      <c r="K15" s="86"/>
      <c r="L15" s="86"/>
      <c r="M15" s="86"/>
      <c r="N15" s="87"/>
    </row>
    <row r="16" spans="1:14" s="39" customFormat="1" ht="31.5">
      <c r="A16" s="105" t="s">
        <v>183</v>
      </c>
      <c r="B16" s="106" t="s">
        <v>184</v>
      </c>
      <c r="C16" s="20"/>
      <c r="D16" s="20">
        <v>1593</v>
      </c>
      <c r="E16" s="20">
        <v>305</v>
      </c>
      <c r="F16" s="20">
        <v>305</v>
      </c>
      <c r="G16" s="20">
        <f t="shared" ref="G16:G26" si="6">F16-E16</f>
        <v>0</v>
      </c>
      <c r="H16" s="20">
        <f t="shared" ref="H16:H23" si="7">F16-C16</f>
        <v>305</v>
      </c>
      <c r="I16" s="107">
        <f t="shared" ref="I16:I23" si="8">F16/E16</f>
        <v>1</v>
      </c>
      <c r="J16" s="107"/>
      <c r="K16" s="80"/>
      <c r="L16" s="102">
        <f t="shared" ref="L16:L23" si="9">F16-C16</f>
        <v>305</v>
      </c>
      <c r="M16" s="103" t="e">
        <f t="shared" ref="M16:M23" si="10">L16/C16</f>
        <v>#DIV/0!</v>
      </c>
      <c r="N16" s="108"/>
    </row>
    <row r="17" spans="1:14" s="39" customFormat="1" ht="15" customHeight="1">
      <c r="A17" s="105" t="s">
        <v>152</v>
      </c>
      <c r="B17" s="106" t="s">
        <v>153</v>
      </c>
      <c r="C17" s="20"/>
      <c r="D17" s="20">
        <v>373.1</v>
      </c>
      <c r="E17" s="20">
        <v>159.1</v>
      </c>
      <c r="F17" s="20"/>
      <c r="G17" s="20">
        <f t="shared" si="6"/>
        <v>-159.1</v>
      </c>
      <c r="H17" s="20">
        <f t="shared" si="7"/>
        <v>0</v>
      </c>
      <c r="I17" s="107">
        <f t="shared" si="8"/>
        <v>0</v>
      </c>
      <c r="J17" s="107"/>
      <c r="K17" s="80"/>
      <c r="L17" s="102">
        <f t="shared" si="9"/>
        <v>0</v>
      </c>
      <c r="M17" s="103" t="e">
        <f t="shared" si="10"/>
        <v>#DIV/0!</v>
      </c>
      <c r="N17" s="108"/>
    </row>
    <row r="18" spans="1:14" s="39" customFormat="1" ht="15" customHeight="1">
      <c r="A18" s="105" t="s">
        <v>65</v>
      </c>
      <c r="B18" s="106" t="s">
        <v>70</v>
      </c>
      <c r="C18" s="20">
        <v>3678.4</v>
      </c>
      <c r="D18" s="20">
        <v>3626.6</v>
      </c>
      <c r="E18" s="20">
        <v>5978.7</v>
      </c>
      <c r="F18" s="20">
        <v>5619.2</v>
      </c>
      <c r="G18" s="20">
        <f t="shared" si="6"/>
        <v>-359.5</v>
      </c>
      <c r="H18" s="20">
        <f t="shared" si="7"/>
        <v>1940.7999999999997</v>
      </c>
      <c r="I18" s="107">
        <f t="shared" si="8"/>
        <v>0.93986987137672073</v>
      </c>
      <c r="J18" s="107">
        <f t="shared" ref="J18:J23" si="11">F18/C18</f>
        <v>1.5276207046541974</v>
      </c>
      <c r="K18" s="80"/>
      <c r="L18" s="102">
        <f t="shared" si="9"/>
        <v>1940.7999999999997</v>
      </c>
      <c r="M18" s="103">
        <f t="shared" si="10"/>
        <v>0.52762070465419741</v>
      </c>
      <c r="N18" s="108"/>
    </row>
    <row r="19" spans="1:14" s="30" customFormat="1" ht="15" customHeight="1">
      <c r="A19" s="97" t="s">
        <v>71</v>
      </c>
      <c r="B19" s="98" t="s">
        <v>74</v>
      </c>
      <c r="C19" s="99">
        <f>SUM(C20:C21)</f>
        <v>791.9</v>
      </c>
      <c r="D19" s="99">
        <f>SUM(D20:D21)</f>
        <v>806</v>
      </c>
      <c r="E19" s="99">
        <f>SUM(E20:E21)</f>
        <v>812.9</v>
      </c>
      <c r="F19" s="99">
        <f>SUM(F20:F21)</f>
        <v>812.9</v>
      </c>
      <c r="G19" s="99">
        <f t="shared" si="6"/>
        <v>0</v>
      </c>
      <c r="H19" s="99">
        <f t="shared" si="7"/>
        <v>21</v>
      </c>
      <c r="I19" s="100">
        <f t="shared" si="8"/>
        <v>1</v>
      </c>
      <c r="J19" s="100">
        <f t="shared" si="11"/>
        <v>1.0265184998105821</v>
      </c>
      <c r="K19" s="101"/>
      <c r="L19" s="102">
        <f t="shared" si="9"/>
        <v>21</v>
      </c>
      <c r="M19" s="103">
        <f t="shared" si="10"/>
        <v>2.6518499810582144E-2</v>
      </c>
      <c r="N19" s="104"/>
    </row>
    <row r="20" spans="1:14" s="39" customFormat="1" ht="30" customHeight="1">
      <c r="A20" s="109" t="s">
        <v>72</v>
      </c>
      <c r="B20" s="41" t="s">
        <v>75</v>
      </c>
      <c r="C20" s="53">
        <v>727</v>
      </c>
      <c r="D20" s="53">
        <v>771</v>
      </c>
      <c r="E20" s="53">
        <v>774</v>
      </c>
      <c r="F20" s="53">
        <v>774</v>
      </c>
      <c r="G20" s="20">
        <f t="shared" si="6"/>
        <v>0</v>
      </c>
      <c r="H20" s="20">
        <f t="shared" si="7"/>
        <v>47</v>
      </c>
      <c r="I20" s="107">
        <f t="shared" si="8"/>
        <v>1</v>
      </c>
      <c r="J20" s="107">
        <f t="shared" si="11"/>
        <v>1.0646492434663</v>
      </c>
      <c r="K20" s="80"/>
      <c r="L20" s="102">
        <f t="shared" si="9"/>
        <v>47</v>
      </c>
      <c r="M20" s="103">
        <f t="shared" si="10"/>
        <v>6.4649243466299869E-2</v>
      </c>
      <c r="N20" s="108"/>
    </row>
    <row r="21" spans="1:14" s="39" customFormat="1" ht="15" customHeight="1">
      <c r="A21" s="109" t="s">
        <v>73</v>
      </c>
      <c r="B21" s="41" t="s">
        <v>76</v>
      </c>
      <c r="C21" s="53">
        <v>64.900000000000006</v>
      </c>
      <c r="D21" s="53">
        <v>35</v>
      </c>
      <c r="E21" s="53">
        <v>38.9</v>
      </c>
      <c r="F21" s="53">
        <v>38.9</v>
      </c>
      <c r="G21" s="20">
        <f t="shared" si="6"/>
        <v>0</v>
      </c>
      <c r="H21" s="20">
        <f t="shared" si="7"/>
        <v>-26.000000000000007</v>
      </c>
      <c r="I21" s="107">
        <f t="shared" si="8"/>
        <v>1</v>
      </c>
      <c r="J21" s="107">
        <f t="shared" si="11"/>
        <v>0.59938366718027725</v>
      </c>
      <c r="K21" s="80"/>
      <c r="L21" s="102">
        <f t="shared" si="9"/>
        <v>-26.000000000000007</v>
      </c>
      <c r="M21" s="103">
        <f t="shared" si="10"/>
        <v>-0.4006163328197227</v>
      </c>
      <c r="N21" s="108"/>
    </row>
    <row r="22" spans="1:14" s="30" customFormat="1" ht="45" customHeight="1">
      <c r="A22" s="97" t="s">
        <v>77</v>
      </c>
      <c r="B22" s="98" t="s">
        <v>78</v>
      </c>
      <c r="C22" s="99">
        <f>SUM(C23:C23)</f>
        <v>1400.8</v>
      </c>
      <c r="D22" s="99">
        <f>SUM(D23:D24)</f>
        <v>1280</v>
      </c>
      <c r="E22" s="99">
        <f>SUM(E23:E24)</f>
        <v>1240.7</v>
      </c>
      <c r="F22" s="99">
        <f>SUM(F23:F24)</f>
        <v>1009.8</v>
      </c>
      <c r="G22" s="99">
        <f t="shared" si="6"/>
        <v>-230.90000000000009</v>
      </c>
      <c r="H22" s="99">
        <f t="shared" si="7"/>
        <v>-391</v>
      </c>
      <c r="I22" s="100">
        <f t="shared" si="8"/>
        <v>0.81389538163939701</v>
      </c>
      <c r="J22" s="100">
        <f t="shared" si="11"/>
        <v>0.720873786407767</v>
      </c>
      <c r="K22" s="101"/>
      <c r="L22" s="102">
        <f t="shared" si="9"/>
        <v>-391</v>
      </c>
      <c r="M22" s="103">
        <f t="shared" si="10"/>
        <v>-0.279126213592233</v>
      </c>
      <c r="N22" s="104"/>
    </row>
    <row r="23" spans="1:14" s="39" customFormat="1" ht="60" customHeight="1">
      <c r="A23" s="105" t="s">
        <v>81</v>
      </c>
      <c r="B23" s="106" t="s">
        <v>80</v>
      </c>
      <c r="C23" s="20">
        <v>1400.8</v>
      </c>
      <c r="D23" s="20">
        <v>1280</v>
      </c>
      <c r="E23" s="20">
        <v>1240.7</v>
      </c>
      <c r="F23" s="20">
        <v>1009.8</v>
      </c>
      <c r="G23" s="20">
        <f t="shared" si="6"/>
        <v>-230.90000000000009</v>
      </c>
      <c r="H23" s="20">
        <f t="shared" si="7"/>
        <v>-391</v>
      </c>
      <c r="I23" s="107">
        <f t="shared" si="8"/>
        <v>0.81389538163939701</v>
      </c>
      <c r="J23" s="107">
        <f t="shared" si="11"/>
        <v>0.720873786407767</v>
      </c>
      <c r="K23" s="80"/>
      <c r="L23" s="102">
        <f t="shared" si="9"/>
        <v>-391</v>
      </c>
      <c r="M23" s="103">
        <f t="shared" si="10"/>
        <v>-0.279126213592233</v>
      </c>
      <c r="N23" s="108"/>
    </row>
    <row r="24" spans="1:14" s="39" customFormat="1" ht="15.75" hidden="1">
      <c r="A24" s="105" t="s">
        <v>188</v>
      </c>
      <c r="B24" s="106" t="s">
        <v>187</v>
      </c>
      <c r="C24" s="20"/>
      <c r="D24" s="20"/>
      <c r="E24" s="20"/>
      <c r="F24" s="20"/>
      <c r="G24" s="20">
        <f t="shared" si="6"/>
        <v>0</v>
      </c>
      <c r="H24" s="20"/>
      <c r="I24" s="107"/>
      <c r="J24" s="107"/>
      <c r="K24" s="80"/>
      <c r="L24" s="102"/>
      <c r="M24" s="103"/>
      <c r="N24" s="108"/>
    </row>
    <row r="25" spans="1:14" s="30" customFormat="1" ht="15" customHeight="1">
      <c r="A25" s="97" t="s">
        <v>82</v>
      </c>
      <c r="B25" s="98" t="s">
        <v>83</v>
      </c>
      <c r="C25" s="99">
        <f>SUM(C26:C33)</f>
        <v>43017.1</v>
      </c>
      <c r="D25" s="99">
        <f>SUM(D26:D33)</f>
        <v>27566.999999999996</v>
      </c>
      <c r="E25" s="99">
        <f>SUM(E26:E33)</f>
        <v>28103.200000000001</v>
      </c>
      <c r="F25" s="99">
        <f>SUM(F26:F33)+0.1</f>
        <v>27364.699999999997</v>
      </c>
      <c r="G25" s="99">
        <f t="shared" si="6"/>
        <v>-738.50000000000364</v>
      </c>
      <c r="H25" s="99">
        <f>F25-C25</f>
        <v>-15652.400000000001</v>
      </c>
      <c r="I25" s="100">
        <f>F25/E25</f>
        <v>0.97372185373907583</v>
      </c>
      <c r="J25" s="100">
        <f>F25/C25</f>
        <v>0.63613539731874069</v>
      </c>
      <c r="K25" s="101"/>
      <c r="L25" s="102">
        <f t="shared" ref="L25:L41" si="12">F25-C25</f>
        <v>-15652.400000000001</v>
      </c>
      <c r="M25" s="103">
        <f t="shared" ref="M25:M41" si="13">L25/C25</f>
        <v>-0.36386460268125936</v>
      </c>
      <c r="N25" s="104"/>
    </row>
    <row r="26" spans="1:14" s="39" customFormat="1" ht="15" customHeight="1">
      <c r="A26" s="105" t="s">
        <v>84</v>
      </c>
      <c r="B26" s="106" t="s">
        <v>90</v>
      </c>
      <c r="C26" s="20">
        <v>855.1</v>
      </c>
      <c r="D26" s="20">
        <v>888.8</v>
      </c>
      <c r="E26" s="20">
        <v>888.8</v>
      </c>
      <c r="F26" s="20">
        <v>886.5</v>
      </c>
      <c r="G26" s="20">
        <f t="shared" si="6"/>
        <v>-2.2999999999999545</v>
      </c>
      <c r="H26" s="20">
        <f>F26-C26</f>
        <v>31.399999999999977</v>
      </c>
      <c r="I26" s="107">
        <f>F26/E26</f>
        <v>0.99741224122412242</v>
      </c>
      <c r="J26" s="107">
        <f>F26/C26</f>
        <v>1.0367208513624138</v>
      </c>
      <c r="K26" s="80"/>
      <c r="L26" s="102">
        <f t="shared" si="12"/>
        <v>31.399999999999977</v>
      </c>
      <c r="M26" s="103">
        <f t="shared" si="13"/>
        <v>3.6720851362413723E-2</v>
      </c>
      <c r="N26" s="108"/>
    </row>
    <row r="27" spans="1:14" s="39" customFormat="1" ht="15" hidden="1" customHeight="1">
      <c r="A27" s="105" t="s">
        <v>85</v>
      </c>
      <c r="B27" s="106" t="s">
        <v>91</v>
      </c>
      <c r="C27" s="20"/>
      <c r="D27" s="20"/>
      <c r="E27" s="20"/>
      <c r="F27" s="20"/>
      <c r="G27" s="20"/>
      <c r="H27" s="20"/>
      <c r="I27" s="107"/>
      <c r="J27" s="107"/>
      <c r="K27" s="80"/>
      <c r="L27" s="102">
        <f t="shared" si="12"/>
        <v>0</v>
      </c>
      <c r="M27" s="103" t="e">
        <f t="shared" si="13"/>
        <v>#DIV/0!</v>
      </c>
      <c r="N27" s="108"/>
    </row>
    <row r="28" spans="1:14" s="39" customFormat="1" ht="15" customHeight="1">
      <c r="A28" s="105" t="s">
        <v>86</v>
      </c>
      <c r="B28" s="106" t="s">
        <v>92</v>
      </c>
      <c r="C28" s="20">
        <v>524.70000000000005</v>
      </c>
      <c r="D28" s="20">
        <v>574.5</v>
      </c>
      <c r="E28" s="20">
        <v>474.5</v>
      </c>
      <c r="F28" s="20">
        <v>412.7</v>
      </c>
      <c r="G28" s="20">
        <f>F28-E28</f>
        <v>-61.800000000000011</v>
      </c>
      <c r="H28" s="20">
        <f>F28-C28</f>
        <v>-112.00000000000006</v>
      </c>
      <c r="I28" s="107">
        <f>F28/E28</f>
        <v>0.86975763962065333</v>
      </c>
      <c r="J28" s="107">
        <f>F28/C28</f>
        <v>0.78654469220506951</v>
      </c>
      <c r="K28" s="80"/>
      <c r="L28" s="102">
        <f t="shared" si="12"/>
        <v>-112.00000000000006</v>
      </c>
      <c r="M28" s="103">
        <f t="shared" si="13"/>
        <v>-0.21345530779493052</v>
      </c>
      <c r="N28" s="108"/>
    </row>
    <row r="29" spans="1:14" s="39" customFormat="1" ht="15" hidden="1" customHeight="1">
      <c r="A29" s="105" t="s">
        <v>87</v>
      </c>
      <c r="B29" s="106" t="s">
        <v>93</v>
      </c>
      <c r="C29" s="20"/>
      <c r="D29" s="20"/>
      <c r="E29" s="20"/>
      <c r="F29" s="20"/>
      <c r="G29" s="20"/>
      <c r="H29" s="20"/>
      <c r="I29" s="107"/>
      <c r="J29" s="107" t="e">
        <f>F29/C29</f>
        <v>#DIV/0!</v>
      </c>
      <c r="K29" s="80"/>
      <c r="L29" s="102">
        <f t="shared" si="12"/>
        <v>0</v>
      </c>
      <c r="M29" s="103" t="e">
        <f t="shared" si="13"/>
        <v>#DIV/0!</v>
      </c>
      <c r="N29" s="108"/>
    </row>
    <row r="30" spans="1:14" s="39" customFormat="1" ht="15" customHeight="1">
      <c r="A30" s="105" t="s">
        <v>94</v>
      </c>
      <c r="B30" s="106" t="s">
        <v>95</v>
      </c>
      <c r="C30" s="20">
        <v>433.2</v>
      </c>
      <c r="D30" s="20"/>
      <c r="E30" s="20">
        <v>123.9</v>
      </c>
      <c r="F30" s="20">
        <v>123.9</v>
      </c>
      <c r="G30" s="20">
        <f t="shared" ref="G30:G41" si="14">F30-E30</f>
        <v>0</v>
      </c>
      <c r="H30" s="20">
        <f t="shared" ref="H30:H41" si="15">F30-C30</f>
        <v>-309.29999999999995</v>
      </c>
      <c r="I30" s="107">
        <f>F30/E30</f>
        <v>1</v>
      </c>
      <c r="J30" s="107">
        <f>F30/C30</f>
        <v>0.28601108033241002</v>
      </c>
      <c r="K30" s="80"/>
      <c r="L30" s="102">
        <f t="shared" si="12"/>
        <v>-309.29999999999995</v>
      </c>
      <c r="M30" s="103">
        <f t="shared" si="13"/>
        <v>-0.71398891966758993</v>
      </c>
      <c r="N30" s="108"/>
    </row>
    <row r="31" spans="1:14" s="39" customFormat="1" ht="15" customHeight="1">
      <c r="A31" s="105" t="s">
        <v>96</v>
      </c>
      <c r="B31" s="106" t="s">
        <v>97</v>
      </c>
      <c r="C31" s="20">
        <v>39305.4</v>
      </c>
      <c r="D31" s="20">
        <v>22255.1</v>
      </c>
      <c r="E31" s="20">
        <v>22908.2</v>
      </c>
      <c r="F31" s="20">
        <v>22357.5</v>
      </c>
      <c r="G31" s="20">
        <f t="shared" si="14"/>
        <v>-550.70000000000073</v>
      </c>
      <c r="H31" s="20">
        <f t="shared" si="15"/>
        <v>-16947.900000000001</v>
      </c>
      <c r="I31" s="107">
        <f>F31/E31</f>
        <v>0.97596057306990502</v>
      </c>
      <c r="J31" s="107">
        <f>F31/C31</f>
        <v>0.56881497198858166</v>
      </c>
      <c r="K31" s="80"/>
      <c r="L31" s="102">
        <f t="shared" si="12"/>
        <v>-16947.900000000001</v>
      </c>
      <c r="M31" s="103">
        <f t="shared" si="13"/>
        <v>-0.43118502801141828</v>
      </c>
      <c r="N31" s="108"/>
    </row>
    <row r="32" spans="1:14" s="39" customFormat="1" ht="15" customHeight="1">
      <c r="A32" s="105" t="s">
        <v>88</v>
      </c>
      <c r="B32" s="106" t="s">
        <v>98</v>
      </c>
      <c r="C32" s="20"/>
      <c r="D32" s="20">
        <v>452</v>
      </c>
      <c r="E32" s="20"/>
      <c r="F32" s="20"/>
      <c r="G32" s="20">
        <f t="shared" si="14"/>
        <v>0</v>
      </c>
      <c r="H32" s="20">
        <f t="shared" si="15"/>
        <v>0</v>
      </c>
      <c r="I32" s="107"/>
      <c r="J32" s="107"/>
      <c r="K32" s="80"/>
      <c r="L32" s="102">
        <f t="shared" si="12"/>
        <v>0</v>
      </c>
      <c r="M32" s="103" t="e">
        <f t="shared" si="13"/>
        <v>#DIV/0!</v>
      </c>
      <c r="N32" s="108"/>
    </row>
    <row r="33" spans="1:14" s="39" customFormat="1" ht="30" customHeight="1">
      <c r="A33" s="105" t="s">
        <v>89</v>
      </c>
      <c r="B33" s="106" t="s">
        <v>99</v>
      </c>
      <c r="C33" s="20">
        <v>1898.7</v>
      </c>
      <c r="D33" s="20">
        <v>3396.6</v>
      </c>
      <c r="E33" s="20">
        <v>3707.8</v>
      </c>
      <c r="F33" s="20">
        <v>3584</v>
      </c>
      <c r="G33" s="20">
        <f t="shared" si="14"/>
        <v>-123.80000000000018</v>
      </c>
      <c r="H33" s="20">
        <f t="shared" si="15"/>
        <v>1685.3</v>
      </c>
      <c r="I33" s="107">
        <f>F33/E33</f>
        <v>0.96661092831328543</v>
      </c>
      <c r="J33" s="107">
        <f t="shared" ref="J33:J41" si="16">F33/C33</f>
        <v>1.887607310264918</v>
      </c>
      <c r="K33" s="80"/>
      <c r="L33" s="102">
        <f t="shared" si="12"/>
        <v>1685.3</v>
      </c>
      <c r="M33" s="103">
        <f t="shared" si="13"/>
        <v>0.88760731026491801</v>
      </c>
      <c r="N33" s="108"/>
    </row>
    <row r="34" spans="1:14" s="30" customFormat="1" ht="30" customHeight="1">
      <c r="A34" s="97" t="s">
        <v>100</v>
      </c>
      <c r="B34" s="98" t="s">
        <v>106</v>
      </c>
      <c r="C34" s="99">
        <f>SUM(C35:C37)</f>
        <v>60212.5</v>
      </c>
      <c r="D34" s="99">
        <f>SUM(D35:D37)</f>
        <v>143628.9</v>
      </c>
      <c r="E34" s="99">
        <f>SUM(E35:E37)</f>
        <v>157292.19999999998</v>
      </c>
      <c r="F34" s="99">
        <f>SUM(F35:F37)</f>
        <v>141222.40000000002</v>
      </c>
      <c r="G34" s="99">
        <f t="shared" si="14"/>
        <v>-16069.799999999959</v>
      </c>
      <c r="H34" s="99">
        <f t="shared" si="15"/>
        <v>81009.900000000023</v>
      </c>
      <c r="I34" s="100">
        <f>F34/E34</f>
        <v>0.8978347305206491</v>
      </c>
      <c r="J34" s="100">
        <f t="shared" si="16"/>
        <v>2.3454000415196186</v>
      </c>
      <c r="K34" s="101"/>
      <c r="L34" s="102">
        <f t="shared" si="12"/>
        <v>81009.900000000023</v>
      </c>
      <c r="M34" s="103">
        <f t="shared" si="13"/>
        <v>1.3454000415196183</v>
      </c>
      <c r="N34" s="104"/>
    </row>
    <row r="35" spans="1:14" s="39" customFormat="1" ht="15" customHeight="1">
      <c r="A35" s="105" t="s">
        <v>101</v>
      </c>
      <c r="B35" s="106" t="s">
        <v>104</v>
      </c>
      <c r="C35" s="20">
        <v>17129</v>
      </c>
      <c r="D35" s="20">
        <v>9977.2999999999993</v>
      </c>
      <c r="E35" s="20">
        <v>3519.3</v>
      </c>
      <c r="F35" s="20">
        <v>3519.2</v>
      </c>
      <c r="G35" s="20">
        <f t="shared" si="14"/>
        <v>-0.1000000000003638</v>
      </c>
      <c r="H35" s="20">
        <f t="shared" si="15"/>
        <v>-13609.8</v>
      </c>
      <c r="I35" s="107">
        <f>F35/E35</f>
        <v>0.99997158525843199</v>
      </c>
      <c r="J35" s="107">
        <f t="shared" si="16"/>
        <v>0.20545274096561386</v>
      </c>
      <c r="K35" s="80"/>
      <c r="L35" s="102">
        <f t="shared" si="12"/>
        <v>-13609.8</v>
      </c>
      <c r="M35" s="103">
        <f t="shared" si="13"/>
        <v>-0.79454725903438606</v>
      </c>
      <c r="N35" s="108"/>
    </row>
    <row r="36" spans="1:14" s="39" customFormat="1" ht="15" customHeight="1">
      <c r="A36" s="105" t="s">
        <v>102</v>
      </c>
      <c r="B36" s="106" t="s">
        <v>105</v>
      </c>
      <c r="C36" s="20">
        <v>40101.599999999999</v>
      </c>
      <c r="D36" s="20">
        <v>133651.6</v>
      </c>
      <c r="E36" s="20">
        <v>153772.9</v>
      </c>
      <c r="F36" s="20">
        <v>137703.20000000001</v>
      </c>
      <c r="G36" s="20">
        <f t="shared" si="14"/>
        <v>-16069.699999999983</v>
      </c>
      <c r="H36" s="20">
        <f t="shared" si="15"/>
        <v>97601.600000000006</v>
      </c>
      <c r="I36" s="107">
        <f>F36/E36</f>
        <v>0.89549719098748881</v>
      </c>
      <c r="J36" s="107">
        <f t="shared" si="16"/>
        <v>3.4338580006782777</v>
      </c>
      <c r="K36" s="80"/>
      <c r="L36" s="102">
        <f t="shared" si="12"/>
        <v>97601.600000000006</v>
      </c>
      <c r="M36" s="103">
        <f t="shared" si="13"/>
        <v>2.4338580006782773</v>
      </c>
      <c r="N36" s="108"/>
    </row>
    <row r="37" spans="1:14" s="39" customFormat="1" ht="15" customHeight="1">
      <c r="A37" s="105" t="s">
        <v>103</v>
      </c>
      <c r="B37" s="106" t="s">
        <v>107</v>
      </c>
      <c r="C37" s="20">
        <v>2981.9</v>
      </c>
      <c r="D37" s="20"/>
      <c r="E37" s="20"/>
      <c r="F37" s="20"/>
      <c r="G37" s="20">
        <f t="shared" si="14"/>
        <v>0</v>
      </c>
      <c r="H37" s="20">
        <f t="shared" si="15"/>
        <v>-2981.9</v>
      </c>
      <c r="I37" s="107"/>
      <c r="J37" s="107">
        <f t="shared" si="16"/>
        <v>0</v>
      </c>
      <c r="K37" s="80"/>
      <c r="L37" s="102">
        <f t="shared" si="12"/>
        <v>-2981.9</v>
      </c>
      <c r="M37" s="103">
        <f t="shared" si="13"/>
        <v>-1</v>
      </c>
      <c r="N37" s="108"/>
    </row>
    <row r="38" spans="1:14" s="30" customFormat="1" ht="15" customHeight="1">
      <c r="A38" s="97" t="s">
        <v>108</v>
      </c>
      <c r="B38" s="98" t="s">
        <v>109</v>
      </c>
      <c r="C38" s="99">
        <f>C39</f>
        <v>774.8</v>
      </c>
      <c r="D38" s="99">
        <f>D39</f>
        <v>203</v>
      </c>
      <c r="E38" s="99">
        <f>E39</f>
        <v>103</v>
      </c>
      <c r="F38" s="99">
        <f>F39</f>
        <v>93</v>
      </c>
      <c r="G38" s="99">
        <f t="shared" si="14"/>
        <v>-10</v>
      </c>
      <c r="H38" s="99">
        <f t="shared" si="15"/>
        <v>-681.8</v>
      </c>
      <c r="I38" s="100">
        <f>F38/E38</f>
        <v>0.90291262135922334</v>
      </c>
      <c r="J38" s="100">
        <f t="shared" si="16"/>
        <v>0.12003097573567373</v>
      </c>
      <c r="K38" s="101"/>
      <c r="L38" s="102">
        <f t="shared" si="12"/>
        <v>-681.8</v>
      </c>
      <c r="M38" s="103">
        <f t="shared" si="13"/>
        <v>-0.87996902426432622</v>
      </c>
      <c r="N38" s="104"/>
    </row>
    <row r="39" spans="1:14" s="39" customFormat="1" ht="30" customHeight="1">
      <c r="A39" s="105" t="s">
        <v>110</v>
      </c>
      <c r="B39" s="106" t="s">
        <v>111</v>
      </c>
      <c r="C39" s="20">
        <v>774.8</v>
      </c>
      <c r="D39" s="20">
        <v>203</v>
      </c>
      <c r="E39" s="20">
        <v>103</v>
      </c>
      <c r="F39" s="20">
        <v>93</v>
      </c>
      <c r="G39" s="20">
        <f t="shared" si="14"/>
        <v>-10</v>
      </c>
      <c r="H39" s="20">
        <f t="shared" si="15"/>
        <v>-681.8</v>
      </c>
      <c r="I39" s="107">
        <f>F39/E39</f>
        <v>0.90291262135922334</v>
      </c>
      <c r="J39" s="107">
        <f t="shared" si="16"/>
        <v>0.12003097573567373</v>
      </c>
      <c r="K39" s="80"/>
      <c r="L39" s="102">
        <f t="shared" si="12"/>
        <v>-681.8</v>
      </c>
      <c r="M39" s="103">
        <f t="shared" si="13"/>
        <v>-0.87996902426432622</v>
      </c>
      <c r="N39" s="108"/>
    </row>
    <row r="40" spans="1:14" s="30" customFormat="1" ht="15" customHeight="1">
      <c r="A40" s="97" t="s">
        <v>112</v>
      </c>
      <c r="B40" s="98" t="s">
        <v>113</v>
      </c>
      <c r="C40" s="99">
        <f>C41+C43+C44+C45</f>
        <v>320609.8</v>
      </c>
      <c r="D40" s="99">
        <f>D41+D43+D44+D45</f>
        <v>315808.2</v>
      </c>
      <c r="E40" s="99">
        <f>E41+E43+E44+E45</f>
        <v>325276.39999999997</v>
      </c>
      <c r="F40" s="99">
        <f>F41+F43+F44+F45</f>
        <v>322854.59999999998</v>
      </c>
      <c r="G40" s="99">
        <f t="shared" si="14"/>
        <v>-2421.7999999999884</v>
      </c>
      <c r="H40" s="99">
        <f t="shared" si="15"/>
        <v>2244.7999999999884</v>
      </c>
      <c r="I40" s="100">
        <f>F40/E40</f>
        <v>0.99255463968489566</v>
      </c>
      <c r="J40" s="100">
        <f t="shared" si="16"/>
        <v>1.0070016574664904</v>
      </c>
      <c r="K40" s="101"/>
      <c r="L40" s="102">
        <f t="shared" si="12"/>
        <v>2244.7999999999884</v>
      </c>
      <c r="M40" s="103">
        <f t="shared" si="13"/>
        <v>7.0016574664903833E-3</v>
      </c>
      <c r="N40" s="104"/>
    </row>
    <row r="41" spans="1:14" s="39" customFormat="1" ht="15" customHeight="1">
      <c r="A41" s="105" t="s">
        <v>114</v>
      </c>
      <c r="B41" s="106" t="s">
        <v>118</v>
      </c>
      <c r="C41" s="20">
        <v>59721.7</v>
      </c>
      <c r="D41" s="20">
        <v>60415.3</v>
      </c>
      <c r="E41" s="20">
        <v>65236.1</v>
      </c>
      <c r="F41" s="20">
        <v>64286.8</v>
      </c>
      <c r="G41" s="20">
        <f t="shared" si="14"/>
        <v>-949.29999999999563</v>
      </c>
      <c r="H41" s="20">
        <f t="shared" si="15"/>
        <v>4565.1000000000058</v>
      </c>
      <c r="I41" s="107">
        <f>F41/E41</f>
        <v>0.98544824108124185</v>
      </c>
      <c r="J41" s="107">
        <f t="shared" si="16"/>
        <v>1.0764395521225953</v>
      </c>
      <c r="K41" s="80"/>
      <c r="L41" s="102">
        <f t="shared" si="12"/>
        <v>4565.1000000000058</v>
      </c>
      <c r="M41" s="103">
        <f t="shared" si="13"/>
        <v>7.64395521225954E-2</v>
      </c>
      <c r="N41" s="108"/>
    </row>
    <row r="42" spans="1:14" s="17" customFormat="1" ht="15" customHeight="1">
      <c r="A42" s="84">
        <v>1</v>
      </c>
      <c r="B42" s="84">
        <v>2</v>
      </c>
      <c r="C42" s="84">
        <v>3</v>
      </c>
      <c r="D42" s="84">
        <v>4</v>
      </c>
      <c r="E42" s="85">
        <v>5</v>
      </c>
      <c r="F42" s="85">
        <v>6</v>
      </c>
      <c r="G42" s="85">
        <v>7</v>
      </c>
      <c r="H42" s="85">
        <v>8</v>
      </c>
      <c r="I42" s="85">
        <v>9</v>
      </c>
      <c r="J42" s="85">
        <v>10</v>
      </c>
      <c r="K42" s="86"/>
      <c r="L42" s="86"/>
      <c r="M42" s="86"/>
      <c r="N42" s="87"/>
    </row>
    <row r="43" spans="1:14" s="39" customFormat="1" ht="15" customHeight="1">
      <c r="A43" s="105" t="s">
        <v>115</v>
      </c>
      <c r="B43" s="106" t="s">
        <v>119</v>
      </c>
      <c r="C43" s="20">
        <v>239187.8</v>
      </c>
      <c r="D43" s="20">
        <v>230078.3</v>
      </c>
      <c r="E43" s="20">
        <v>234815.3</v>
      </c>
      <c r="F43" s="20">
        <v>233361.2</v>
      </c>
      <c r="G43" s="20">
        <f t="shared" ref="G43:G59" si="17">F43-E43</f>
        <v>-1454.0999999999767</v>
      </c>
      <c r="H43" s="20">
        <f t="shared" ref="H43:H59" si="18">F43-C43</f>
        <v>-5826.5999999999767</v>
      </c>
      <c r="I43" s="107">
        <f t="shared" ref="I43:I59" si="19">F43/E43</f>
        <v>0.99380747336310715</v>
      </c>
      <c r="J43" s="107">
        <f t="shared" ref="J43:J59" si="20">F43/C43</f>
        <v>0.97564006190951225</v>
      </c>
      <c r="K43" s="80"/>
      <c r="L43" s="102">
        <f t="shared" ref="L43:L59" si="21">F43-C43</f>
        <v>-5826.5999999999767</v>
      </c>
      <c r="M43" s="103">
        <f t="shared" ref="M43:M59" si="22">L43/C43</f>
        <v>-2.4359938090487795E-2</v>
      </c>
      <c r="N43" s="108"/>
    </row>
    <row r="44" spans="1:14" s="39" customFormat="1" ht="30" customHeight="1">
      <c r="A44" s="105" t="s">
        <v>116</v>
      </c>
      <c r="B44" s="106" t="s">
        <v>120</v>
      </c>
      <c r="C44" s="20">
        <v>3530.2</v>
      </c>
      <c r="D44" s="20">
        <v>4017.4</v>
      </c>
      <c r="E44" s="20">
        <v>3811.4</v>
      </c>
      <c r="F44" s="20">
        <v>3805.8</v>
      </c>
      <c r="G44" s="20">
        <f t="shared" si="17"/>
        <v>-5.5999999999999091</v>
      </c>
      <c r="H44" s="20">
        <f t="shared" si="18"/>
        <v>275.60000000000036</v>
      </c>
      <c r="I44" s="107">
        <f t="shared" si="19"/>
        <v>0.99853072361861783</v>
      </c>
      <c r="J44" s="107">
        <f t="shared" si="20"/>
        <v>1.0780692312050311</v>
      </c>
      <c r="K44" s="80"/>
      <c r="L44" s="102">
        <f t="shared" si="21"/>
        <v>275.60000000000036</v>
      </c>
      <c r="M44" s="103">
        <f t="shared" si="22"/>
        <v>7.8069231205030981E-2</v>
      </c>
      <c r="N44" s="108"/>
    </row>
    <row r="45" spans="1:14" s="39" customFormat="1" ht="15" customHeight="1">
      <c r="A45" s="105" t="s">
        <v>117</v>
      </c>
      <c r="B45" s="106" t="s">
        <v>121</v>
      </c>
      <c r="C45" s="20">
        <v>18170.099999999999</v>
      </c>
      <c r="D45" s="20">
        <v>21297.200000000001</v>
      </c>
      <c r="E45" s="20">
        <v>21413.599999999999</v>
      </c>
      <c r="F45" s="20">
        <v>21400.799999999999</v>
      </c>
      <c r="G45" s="20">
        <f t="shared" si="17"/>
        <v>-12.799999999999272</v>
      </c>
      <c r="H45" s="20">
        <f t="shared" si="18"/>
        <v>3230.7000000000007</v>
      </c>
      <c r="I45" s="107">
        <f t="shared" si="19"/>
        <v>0.99940224903799457</v>
      </c>
      <c r="J45" s="107">
        <f t="shared" si="20"/>
        <v>1.1778030940941437</v>
      </c>
      <c r="K45" s="80"/>
      <c r="L45" s="102">
        <f t="shared" si="21"/>
        <v>3230.7000000000007</v>
      </c>
      <c r="M45" s="103">
        <f t="shared" si="22"/>
        <v>0.17780309409414374</v>
      </c>
      <c r="N45" s="108"/>
    </row>
    <row r="46" spans="1:14" s="30" customFormat="1" ht="30" customHeight="1">
      <c r="A46" s="97" t="s">
        <v>122</v>
      </c>
      <c r="B46" s="98" t="s">
        <v>124</v>
      </c>
      <c r="C46" s="99">
        <f>C47</f>
        <v>18270.3</v>
      </c>
      <c r="D46" s="99">
        <f>D47</f>
        <v>17965.2</v>
      </c>
      <c r="E46" s="99">
        <f>E47</f>
        <v>21532.799999999999</v>
      </c>
      <c r="F46" s="99">
        <f>F47</f>
        <v>20842.3</v>
      </c>
      <c r="G46" s="99">
        <f t="shared" si="17"/>
        <v>-690.5</v>
      </c>
      <c r="H46" s="99">
        <f t="shared" si="18"/>
        <v>2572</v>
      </c>
      <c r="I46" s="100">
        <f t="shared" si="19"/>
        <v>0.96793264229454601</v>
      </c>
      <c r="J46" s="100">
        <f t="shared" si="20"/>
        <v>1.1407749188573806</v>
      </c>
      <c r="K46" s="101"/>
      <c r="L46" s="102">
        <f t="shared" si="21"/>
        <v>2572</v>
      </c>
      <c r="M46" s="103">
        <f t="shared" si="22"/>
        <v>0.14077491885738055</v>
      </c>
      <c r="N46" s="104"/>
    </row>
    <row r="47" spans="1:14" s="39" customFormat="1" ht="15" customHeight="1">
      <c r="A47" s="105" t="s">
        <v>123</v>
      </c>
      <c r="B47" s="106" t="s">
        <v>125</v>
      </c>
      <c r="C47" s="20">
        <v>18270.3</v>
      </c>
      <c r="D47" s="20">
        <v>17965.2</v>
      </c>
      <c r="E47" s="20">
        <v>21532.799999999999</v>
      </c>
      <c r="F47" s="20">
        <v>20842.3</v>
      </c>
      <c r="G47" s="20">
        <f t="shared" si="17"/>
        <v>-690.5</v>
      </c>
      <c r="H47" s="20">
        <f t="shared" si="18"/>
        <v>2572</v>
      </c>
      <c r="I47" s="107">
        <f t="shared" si="19"/>
        <v>0.96793264229454601</v>
      </c>
      <c r="J47" s="107">
        <f t="shared" si="20"/>
        <v>1.1407749188573806</v>
      </c>
      <c r="K47" s="80"/>
      <c r="L47" s="102">
        <f t="shared" si="21"/>
        <v>2572</v>
      </c>
      <c r="M47" s="103">
        <f t="shared" si="22"/>
        <v>0.14077491885738055</v>
      </c>
      <c r="N47" s="108"/>
    </row>
    <row r="48" spans="1:14" s="30" customFormat="1" ht="15" customHeight="1">
      <c r="A48" s="97" t="s">
        <v>127</v>
      </c>
      <c r="B48" s="98" t="s">
        <v>126</v>
      </c>
      <c r="C48" s="99">
        <f>SUM(C49:C53)</f>
        <v>58165</v>
      </c>
      <c r="D48" s="99">
        <f>SUM(D49:D53)</f>
        <v>58217.200000000004</v>
      </c>
      <c r="E48" s="99">
        <f>SUM(E49:E53)</f>
        <v>57112.200000000004</v>
      </c>
      <c r="F48" s="99">
        <f>SUM(F49:F53)</f>
        <v>57068.799999999996</v>
      </c>
      <c r="G48" s="99">
        <f t="shared" si="17"/>
        <v>-43.400000000008731</v>
      </c>
      <c r="H48" s="99">
        <f t="shared" si="18"/>
        <v>-1096.2000000000044</v>
      </c>
      <c r="I48" s="100">
        <f t="shared" si="19"/>
        <v>0.99924009230952393</v>
      </c>
      <c r="J48" s="100">
        <f t="shared" si="20"/>
        <v>0.981153614716754</v>
      </c>
      <c r="K48" s="101"/>
      <c r="L48" s="102">
        <f t="shared" si="21"/>
        <v>-1096.2000000000044</v>
      </c>
      <c r="M48" s="103">
        <f t="shared" si="22"/>
        <v>-1.8846385283246014E-2</v>
      </c>
      <c r="N48" s="104"/>
    </row>
    <row r="49" spans="1:14" s="39" customFormat="1" ht="15" customHeight="1">
      <c r="A49" s="105" t="s">
        <v>128</v>
      </c>
      <c r="B49" s="106" t="s">
        <v>133</v>
      </c>
      <c r="C49" s="20">
        <v>751.8</v>
      </c>
      <c r="D49" s="20">
        <v>864.9</v>
      </c>
      <c r="E49" s="20">
        <v>946.4</v>
      </c>
      <c r="F49" s="20">
        <v>935.1</v>
      </c>
      <c r="G49" s="20">
        <f t="shared" si="17"/>
        <v>-11.299999999999955</v>
      </c>
      <c r="H49" s="20">
        <f t="shared" si="18"/>
        <v>183.30000000000007</v>
      </c>
      <c r="I49" s="107">
        <f t="shared" si="19"/>
        <v>0.98806001690617085</v>
      </c>
      <c r="J49" s="107">
        <f t="shared" si="20"/>
        <v>1.2438148443735038</v>
      </c>
      <c r="K49" s="80"/>
      <c r="L49" s="102">
        <f t="shared" si="21"/>
        <v>183.30000000000007</v>
      </c>
      <c r="M49" s="103">
        <f t="shared" si="22"/>
        <v>0.2438148443735037</v>
      </c>
      <c r="N49" s="108"/>
    </row>
    <row r="50" spans="1:14" s="39" customFormat="1" ht="15" customHeight="1">
      <c r="A50" s="105" t="s">
        <v>129</v>
      </c>
      <c r="B50" s="106" t="s">
        <v>134</v>
      </c>
      <c r="C50" s="20">
        <v>19278.3</v>
      </c>
      <c r="D50" s="20">
        <v>17647.3</v>
      </c>
      <c r="E50" s="20">
        <v>17201.8</v>
      </c>
      <c r="F50" s="20">
        <v>17201.8</v>
      </c>
      <c r="G50" s="20">
        <f t="shared" si="17"/>
        <v>0</v>
      </c>
      <c r="H50" s="20">
        <f t="shared" si="18"/>
        <v>-2076.5</v>
      </c>
      <c r="I50" s="107">
        <f t="shared" si="19"/>
        <v>1</v>
      </c>
      <c r="J50" s="107">
        <f t="shared" si="20"/>
        <v>0.89228822043437439</v>
      </c>
      <c r="K50" s="80"/>
      <c r="L50" s="102">
        <f t="shared" si="21"/>
        <v>-2076.5</v>
      </c>
      <c r="M50" s="103">
        <f t="shared" si="22"/>
        <v>-0.10771177956562561</v>
      </c>
      <c r="N50" s="108"/>
    </row>
    <row r="51" spans="1:14" s="39" customFormat="1" ht="15" customHeight="1">
      <c r="A51" s="105" t="s">
        <v>130</v>
      </c>
      <c r="B51" s="106" t="s">
        <v>136</v>
      </c>
      <c r="C51" s="20">
        <v>7940.8</v>
      </c>
      <c r="D51" s="20">
        <v>7378.9</v>
      </c>
      <c r="E51" s="20">
        <v>8907.9</v>
      </c>
      <c r="F51" s="20">
        <v>8896.1</v>
      </c>
      <c r="G51" s="20">
        <f t="shared" si="17"/>
        <v>-11.799999999999272</v>
      </c>
      <c r="H51" s="20">
        <f t="shared" si="18"/>
        <v>955.30000000000018</v>
      </c>
      <c r="I51" s="107">
        <f t="shared" si="19"/>
        <v>0.99867533313126555</v>
      </c>
      <c r="J51" s="107">
        <f t="shared" si="20"/>
        <v>1.1203027402780577</v>
      </c>
      <c r="K51" s="80"/>
      <c r="L51" s="102">
        <f t="shared" si="21"/>
        <v>955.30000000000018</v>
      </c>
      <c r="M51" s="103">
        <f t="shared" si="22"/>
        <v>0.12030274027805765</v>
      </c>
      <c r="N51" s="108"/>
    </row>
    <row r="52" spans="1:14" s="39" customFormat="1" ht="15" customHeight="1">
      <c r="A52" s="105" t="s">
        <v>131</v>
      </c>
      <c r="B52" s="106" t="s">
        <v>135</v>
      </c>
      <c r="C52" s="20">
        <v>28801.8</v>
      </c>
      <c r="D52" s="20">
        <v>31860.7</v>
      </c>
      <c r="E52" s="20">
        <v>29560.7</v>
      </c>
      <c r="F52" s="20">
        <v>29560.7</v>
      </c>
      <c r="G52" s="20">
        <f t="shared" si="17"/>
        <v>0</v>
      </c>
      <c r="H52" s="20">
        <f t="shared" si="18"/>
        <v>758.90000000000146</v>
      </c>
      <c r="I52" s="107">
        <f t="shared" si="19"/>
        <v>1</v>
      </c>
      <c r="J52" s="107">
        <f t="shared" si="20"/>
        <v>1.0263490476289676</v>
      </c>
      <c r="K52" s="80"/>
      <c r="L52" s="102">
        <f t="shared" si="21"/>
        <v>758.90000000000146</v>
      </c>
      <c r="M52" s="103">
        <f t="shared" si="22"/>
        <v>2.6349047628967684E-2</v>
      </c>
      <c r="N52" s="108"/>
    </row>
    <row r="53" spans="1:14" s="39" customFormat="1" ht="30" customHeight="1">
      <c r="A53" s="105" t="s">
        <v>132</v>
      </c>
      <c r="B53" s="106" t="s">
        <v>137</v>
      </c>
      <c r="C53" s="20">
        <v>1392.3</v>
      </c>
      <c r="D53" s="20">
        <v>465.4</v>
      </c>
      <c r="E53" s="20">
        <v>495.4</v>
      </c>
      <c r="F53" s="20">
        <v>475.1</v>
      </c>
      <c r="G53" s="20">
        <f t="shared" si="17"/>
        <v>-20.299999999999955</v>
      </c>
      <c r="H53" s="20">
        <f t="shared" si="18"/>
        <v>-917.19999999999993</v>
      </c>
      <c r="I53" s="107">
        <f t="shared" si="19"/>
        <v>0.95902301170771098</v>
      </c>
      <c r="J53" s="107">
        <f t="shared" si="20"/>
        <v>0.3412339294692236</v>
      </c>
      <c r="K53" s="80"/>
      <c r="L53" s="102">
        <f t="shared" si="21"/>
        <v>-917.19999999999993</v>
      </c>
      <c r="M53" s="103">
        <f t="shared" si="22"/>
        <v>-0.6587660705307764</v>
      </c>
      <c r="N53" s="108"/>
    </row>
    <row r="54" spans="1:14" s="30" customFormat="1" ht="30" customHeight="1">
      <c r="A54" s="97" t="s">
        <v>138</v>
      </c>
      <c r="B54" s="98" t="s">
        <v>141</v>
      </c>
      <c r="C54" s="99">
        <f>SUM(C55:C56)</f>
        <v>4381.7</v>
      </c>
      <c r="D54" s="99">
        <f>SUM(D55:D56)</f>
        <v>8450.5</v>
      </c>
      <c r="E54" s="99">
        <f>SUM(E55:E56)</f>
        <v>3575.2</v>
      </c>
      <c r="F54" s="99">
        <f>SUM(F55:F56)</f>
        <v>3575.2</v>
      </c>
      <c r="G54" s="99">
        <f t="shared" si="17"/>
        <v>0</v>
      </c>
      <c r="H54" s="99">
        <f t="shared" si="18"/>
        <v>-806.5</v>
      </c>
      <c r="I54" s="100">
        <f t="shared" si="19"/>
        <v>1</v>
      </c>
      <c r="J54" s="100">
        <f t="shared" si="20"/>
        <v>0.81593901910217492</v>
      </c>
      <c r="K54" s="101"/>
      <c r="L54" s="102">
        <f t="shared" si="21"/>
        <v>-806.5</v>
      </c>
      <c r="M54" s="103">
        <f t="shared" si="22"/>
        <v>-0.18406098089782505</v>
      </c>
      <c r="N54" s="104"/>
    </row>
    <row r="55" spans="1:14" s="39" customFormat="1" ht="15" customHeight="1">
      <c r="A55" s="109" t="s">
        <v>139</v>
      </c>
      <c r="B55" s="41" t="s">
        <v>142</v>
      </c>
      <c r="C55" s="53">
        <v>3531.7</v>
      </c>
      <c r="D55" s="53">
        <v>7795.5</v>
      </c>
      <c r="E55" s="53">
        <v>2920.2</v>
      </c>
      <c r="F55" s="53">
        <v>2920.2</v>
      </c>
      <c r="G55" s="20">
        <f t="shared" si="17"/>
        <v>0</v>
      </c>
      <c r="H55" s="20">
        <f t="shared" si="18"/>
        <v>-611.5</v>
      </c>
      <c r="I55" s="107">
        <f t="shared" si="19"/>
        <v>1</v>
      </c>
      <c r="J55" s="107">
        <f t="shared" si="20"/>
        <v>0.8268539230398958</v>
      </c>
      <c r="K55" s="80"/>
      <c r="L55" s="102">
        <f t="shared" si="21"/>
        <v>-611.5</v>
      </c>
      <c r="M55" s="103">
        <f t="shared" si="22"/>
        <v>-0.1731460769601042</v>
      </c>
      <c r="N55" s="108"/>
    </row>
    <row r="56" spans="1:14" s="39" customFormat="1" ht="15" customHeight="1">
      <c r="A56" s="109" t="s">
        <v>140</v>
      </c>
      <c r="B56" s="41" t="s">
        <v>143</v>
      </c>
      <c r="C56" s="53">
        <v>850</v>
      </c>
      <c r="D56" s="53">
        <v>655</v>
      </c>
      <c r="E56" s="53">
        <v>655</v>
      </c>
      <c r="F56" s="53">
        <v>655</v>
      </c>
      <c r="G56" s="20">
        <f t="shared" si="17"/>
        <v>0</v>
      </c>
      <c r="H56" s="20">
        <f t="shared" si="18"/>
        <v>-195</v>
      </c>
      <c r="I56" s="107">
        <f t="shared" si="19"/>
        <v>1</v>
      </c>
      <c r="J56" s="107">
        <f t="shared" si="20"/>
        <v>0.77058823529411768</v>
      </c>
      <c r="K56" s="80"/>
      <c r="L56" s="102">
        <f t="shared" si="21"/>
        <v>-195</v>
      </c>
      <c r="M56" s="103">
        <f t="shared" si="22"/>
        <v>-0.22941176470588234</v>
      </c>
      <c r="N56" s="108"/>
    </row>
    <row r="57" spans="1:14" s="30" customFormat="1" ht="75" customHeight="1">
      <c r="A57" s="97" t="s">
        <v>144</v>
      </c>
      <c r="B57" s="98" t="s">
        <v>148</v>
      </c>
      <c r="C57" s="99">
        <f>SUM(C58:C59)</f>
        <v>111989.1</v>
      </c>
      <c r="D57" s="99">
        <f>SUM(D58:D59)</f>
        <v>84459.299999999988</v>
      </c>
      <c r="E57" s="99">
        <f>SUM(E58:E59)</f>
        <v>97613.7</v>
      </c>
      <c r="F57" s="99">
        <f>SUM(F58:F59)</f>
        <v>97613.7</v>
      </c>
      <c r="G57" s="99">
        <f t="shared" si="17"/>
        <v>0</v>
      </c>
      <c r="H57" s="99">
        <f t="shared" si="18"/>
        <v>-14375.400000000009</v>
      </c>
      <c r="I57" s="100">
        <f t="shared" si="19"/>
        <v>1</v>
      </c>
      <c r="J57" s="100">
        <f t="shared" si="20"/>
        <v>0.87163572169077164</v>
      </c>
      <c r="K57" s="101"/>
      <c r="L57" s="102">
        <f t="shared" si="21"/>
        <v>-14375.400000000009</v>
      </c>
      <c r="M57" s="103">
        <f t="shared" si="22"/>
        <v>-0.12836427830922839</v>
      </c>
      <c r="N57" s="104"/>
    </row>
    <row r="58" spans="1:14" s="39" customFormat="1" ht="45" customHeight="1">
      <c r="A58" s="109" t="s">
        <v>145</v>
      </c>
      <c r="B58" s="41" t="s">
        <v>147</v>
      </c>
      <c r="C58" s="53">
        <v>97301.6</v>
      </c>
      <c r="D58" s="53">
        <v>82553.899999999994</v>
      </c>
      <c r="E58" s="53">
        <v>82553.899999999994</v>
      </c>
      <c r="F58" s="53">
        <v>82553.899999999994</v>
      </c>
      <c r="G58" s="20">
        <f t="shared" si="17"/>
        <v>0</v>
      </c>
      <c r="H58" s="20">
        <f t="shared" si="18"/>
        <v>-14747.700000000012</v>
      </c>
      <c r="I58" s="107">
        <f t="shared" si="19"/>
        <v>1</v>
      </c>
      <c r="J58" s="107">
        <f t="shared" si="20"/>
        <v>0.84843311929094678</v>
      </c>
      <c r="K58" s="80"/>
      <c r="L58" s="102">
        <f t="shared" si="21"/>
        <v>-14747.700000000012</v>
      </c>
      <c r="M58" s="103">
        <f t="shared" si="22"/>
        <v>-0.15156688070905319</v>
      </c>
      <c r="N58" s="108"/>
    </row>
    <row r="59" spans="1:14" s="39" customFormat="1" ht="30" customHeight="1">
      <c r="A59" s="109" t="s">
        <v>146</v>
      </c>
      <c r="B59" s="41" t="s">
        <v>149</v>
      </c>
      <c r="C59" s="53">
        <v>14687.5</v>
      </c>
      <c r="D59" s="53">
        <v>1905.4</v>
      </c>
      <c r="E59" s="53">
        <v>15059.8</v>
      </c>
      <c r="F59" s="53">
        <v>15059.8</v>
      </c>
      <c r="G59" s="20">
        <f t="shared" si="17"/>
        <v>0</v>
      </c>
      <c r="H59" s="20">
        <f t="shared" si="18"/>
        <v>372.29999999999927</v>
      </c>
      <c r="I59" s="107">
        <f t="shared" si="19"/>
        <v>1</v>
      </c>
      <c r="J59" s="107">
        <f t="shared" si="20"/>
        <v>1.025348085106383</v>
      </c>
      <c r="K59" s="80"/>
      <c r="L59" s="102">
        <f t="shared" si="21"/>
        <v>372.29999999999927</v>
      </c>
      <c r="M59" s="103">
        <f t="shared" si="22"/>
        <v>2.534808510638293E-2</v>
      </c>
      <c r="N59" s="108"/>
    </row>
  </sheetData>
  <mergeCells count="3">
    <mergeCell ref="A3:J3"/>
    <mergeCell ref="H5:J5"/>
    <mergeCell ref="G1:J1"/>
  </mergeCells>
  <phoneticPr fontId="0" type="noConversion"/>
  <pageMargins left="0.59055118110236227" right="0.59055118110236227" top="0.78740157480314965" bottom="0.59055118110236227" header="0.31496062992125984" footer="0.31496062992125984"/>
  <pageSetup paperSize="9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workbookViewId="0"/>
  </sheetViews>
  <sheetFormatPr defaultRowHeight="15"/>
  <cols>
    <col min="1" max="1" width="10.7109375" style="38" customWidth="1"/>
    <col min="2" max="4" width="11.7109375" customWidth="1"/>
    <col min="5" max="5" width="10.7109375" customWidth="1"/>
    <col min="6" max="6" width="10.28515625" customWidth="1"/>
    <col min="7" max="7" width="10.7109375" customWidth="1"/>
    <col min="8" max="8" width="10.28515625" customWidth="1"/>
    <col min="9" max="10" width="10.7109375" customWidth="1"/>
  </cols>
  <sheetData>
    <row r="1" spans="1:10" ht="15.75" customHeight="1">
      <c r="A1" s="4"/>
      <c r="B1" s="1"/>
      <c r="C1" s="1"/>
      <c r="D1" s="1"/>
      <c r="E1" s="138" t="s">
        <v>257</v>
      </c>
      <c r="F1" s="138"/>
      <c r="G1" s="138"/>
      <c r="H1" s="138"/>
      <c r="I1" s="1"/>
      <c r="J1" s="1"/>
    </row>
    <row r="2" spans="1:10" ht="15.75" customHeight="1">
      <c r="A2" s="4"/>
      <c r="B2" s="1"/>
      <c r="C2" s="1"/>
      <c r="D2" s="1"/>
      <c r="E2" s="57"/>
      <c r="F2" s="57"/>
      <c r="G2" s="57"/>
      <c r="H2" s="57"/>
      <c r="I2" s="1"/>
      <c r="J2" s="1"/>
    </row>
    <row r="3" spans="1:10" ht="15.75" customHeight="1">
      <c r="A3" s="4"/>
      <c r="B3" s="1"/>
      <c r="C3" s="1"/>
      <c r="D3" s="1"/>
      <c r="E3" s="57"/>
      <c r="F3" s="57"/>
      <c r="G3" s="57"/>
      <c r="H3" s="57"/>
      <c r="I3" s="1"/>
      <c r="J3" s="1"/>
    </row>
    <row r="4" spans="1:10" ht="15.75" customHeight="1">
      <c r="A4" s="4"/>
      <c r="B4" s="1"/>
      <c r="C4" s="1"/>
      <c r="D4" s="1"/>
      <c r="E4" s="1"/>
      <c r="F4" s="1"/>
      <c r="G4" s="1"/>
      <c r="H4" s="1"/>
      <c r="I4" s="1"/>
      <c r="J4" s="1"/>
    </row>
    <row r="5" spans="1:10" ht="36" customHeight="1">
      <c r="A5" s="139" t="s">
        <v>194</v>
      </c>
      <c r="B5" s="139"/>
      <c r="C5" s="139"/>
      <c r="D5" s="139"/>
      <c r="E5" s="139"/>
      <c r="F5" s="139"/>
      <c r="G5" s="139"/>
      <c r="H5" s="139"/>
      <c r="I5" s="1"/>
      <c r="J5" s="1"/>
    </row>
    <row r="6" spans="1:10" ht="9" customHeight="1">
      <c r="A6" s="4"/>
      <c r="B6" s="1"/>
      <c r="C6" s="1"/>
      <c r="D6" s="1"/>
      <c r="E6" s="1"/>
      <c r="F6" s="1"/>
      <c r="G6" s="1"/>
      <c r="H6" s="1"/>
      <c r="I6" s="1"/>
      <c r="J6" s="1"/>
    </row>
    <row r="7" spans="1:10" s="3" customFormat="1" ht="20.100000000000001" customHeight="1">
      <c r="A7" s="37"/>
      <c r="B7" s="2"/>
      <c r="C7" s="2"/>
      <c r="D7" s="2"/>
      <c r="E7" s="2"/>
      <c r="F7" s="2"/>
      <c r="G7" s="137" t="s">
        <v>179</v>
      </c>
      <c r="H7" s="137"/>
      <c r="I7" s="2"/>
      <c r="J7" s="2"/>
    </row>
    <row r="8" spans="1:10" s="17" customFormat="1" ht="75" customHeight="1">
      <c r="A8" s="19" t="s">
        <v>161</v>
      </c>
      <c r="B8" s="19" t="s">
        <v>185</v>
      </c>
      <c r="C8" s="19" t="s">
        <v>190</v>
      </c>
      <c r="D8" s="19" t="s">
        <v>191</v>
      </c>
      <c r="E8" s="18" t="s">
        <v>158</v>
      </c>
      <c r="F8" s="18" t="s">
        <v>192</v>
      </c>
      <c r="G8" s="18" t="s">
        <v>189</v>
      </c>
      <c r="H8" s="18" t="s">
        <v>193</v>
      </c>
      <c r="I8" s="16"/>
      <c r="J8" s="16"/>
    </row>
    <row r="9" spans="1:10" s="17" customFormat="1" ht="15" customHeight="1">
      <c r="A9" s="19">
        <v>1</v>
      </c>
      <c r="B9" s="19">
        <v>2</v>
      </c>
      <c r="C9" s="18">
        <v>3</v>
      </c>
      <c r="D9" s="18">
        <v>4</v>
      </c>
      <c r="E9" s="18">
        <v>5</v>
      </c>
      <c r="F9" s="18">
        <v>7</v>
      </c>
      <c r="G9" s="18">
        <v>6</v>
      </c>
      <c r="H9" s="18">
        <v>8</v>
      </c>
      <c r="I9" s="16"/>
      <c r="J9" s="16"/>
    </row>
    <row r="10" spans="1:10" s="39" customFormat="1" ht="24.95" customHeight="1">
      <c r="A10" s="11" t="s">
        <v>162</v>
      </c>
      <c r="B10" s="54">
        <v>206054.5</v>
      </c>
      <c r="C10" s="54">
        <f>199647344.02/1000</f>
        <v>199647.34402000002</v>
      </c>
      <c r="D10" s="54">
        <f>199503591.79/1000</f>
        <v>199503.59179000001</v>
      </c>
      <c r="E10" s="48">
        <f>D10-C10</f>
        <v>-143.75223000001279</v>
      </c>
      <c r="F10" s="50">
        <f>D10/C10</f>
        <v>0.99927996923422324</v>
      </c>
      <c r="G10" s="48">
        <f>D10-B10</f>
        <v>-6550.9082099999941</v>
      </c>
      <c r="H10" s="50">
        <f t="shared" ref="H10:H28" si="0">D10/B10</f>
        <v>0.96820788572926098</v>
      </c>
      <c r="I10" s="1"/>
      <c r="J10" s="1"/>
    </row>
    <row r="11" spans="1:10" s="39" customFormat="1" ht="24.95" customHeight="1">
      <c r="A11" s="11" t="s">
        <v>163</v>
      </c>
      <c r="B11" s="54">
        <v>131.6</v>
      </c>
      <c r="C11" s="54">
        <f>117924.2/1000</f>
        <v>117.9242</v>
      </c>
      <c r="D11" s="54">
        <f>107600/1000</f>
        <v>107.6</v>
      </c>
      <c r="E11" s="48">
        <f t="shared" ref="E11:E26" si="1">D11-C11</f>
        <v>-10.324200000000005</v>
      </c>
      <c r="F11" s="50">
        <f t="shared" ref="F11:F26" si="2">D11/C11</f>
        <v>0.9124505402623041</v>
      </c>
      <c r="G11" s="48">
        <f t="shared" ref="G11:G26" si="3">D11-B11</f>
        <v>-24</v>
      </c>
      <c r="H11" s="50">
        <f t="shared" si="0"/>
        <v>0.81762917933130697</v>
      </c>
      <c r="I11" s="1"/>
      <c r="J11" s="1"/>
    </row>
    <row r="12" spans="1:10" s="39" customFormat="1" ht="24.95" customHeight="1">
      <c r="A12" s="11" t="s">
        <v>164</v>
      </c>
      <c r="B12" s="54">
        <v>60324.3</v>
      </c>
      <c r="C12" s="54">
        <f>62804427.03/1000</f>
        <v>62804.427029999999</v>
      </c>
      <c r="D12" s="54">
        <f>62733243.24/1000</f>
        <v>62733.243240000003</v>
      </c>
      <c r="E12" s="48">
        <f t="shared" si="1"/>
        <v>-71.183789999995497</v>
      </c>
      <c r="F12" s="50">
        <f t="shared" si="2"/>
        <v>0.9988665800586638</v>
      </c>
      <c r="G12" s="48">
        <f t="shared" si="3"/>
        <v>2408.9432400000005</v>
      </c>
      <c r="H12" s="50">
        <f t="shared" si="0"/>
        <v>1.0399332149730705</v>
      </c>
      <c r="I12" s="1"/>
      <c r="J12" s="1"/>
    </row>
    <row r="13" spans="1:10" s="39" customFormat="1" ht="24.95" customHeight="1">
      <c r="A13" s="11" t="s">
        <v>165</v>
      </c>
      <c r="B13" s="54">
        <v>1967.7</v>
      </c>
      <c r="C13" s="54">
        <f>2198244.65/1000</f>
        <v>2198.2446500000001</v>
      </c>
      <c r="D13" s="54">
        <f>2164236.45/1000</f>
        <v>2164.2364500000003</v>
      </c>
      <c r="E13" s="48">
        <f t="shared" si="1"/>
        <v>-34.008199999999761</v>
      </c>
      <c r="F13" s="50">
        <f t="shared" si="2"/>
        <v>0.98452938347876806</v>
      </c>
      <c r="G13" s="48">
        <f t="shared" si="3"/>
        <v>196.53645000000029</v>
      </c>
      <c r="H13" s="50">
        <f t="shared" si="0"/>
        <v>1.0998813081262389</v>
      </c>
      <c r="I13" s="1"/>
      <c r="J13" s="1"/>
    </row>
    <row r="14" spans="1:10" s="39" customFormat="1" ht="24.95" customHeight="1">
      <c r="A14" s="11" t="s">
        <v>166</v>
      </c>
      <c r="B14" s="54">
        <v>331.1</v>
      </c>
      <c r="C14" s="54">
        <f>732870.07/1000</f>
        <v>732.87006999999994</v>
      </c>
      <c r="D14" s="54">
        <f>711713.37/1000</f>
        <v>711.71336999999994</v>
      </c>
      <c r="E14" s="48">
        <f t="shared" si="1"/>
        <v>-21.156700000000001</v>
      </c>
      <c r="F14" s="50">
        <f t="shared" si="2"/>
        <v>0.97113171779548868</v>
      </c>
      <c r="G14" s="48">
        <f t="shared" si="3"/>
        <v>380.61336999999992</v>
      </c>
      <c r="H14" s="50">
        <f t="shared" si="0"/>
        <v>2.1495420416792506</v>
      </c>
      <c r="I14" s="1"/>
      <c r="J14" s="1"/>
    </row>
    <row r="15" spans="1:10" s="39" customFormat="1" ht="24.95" customHeight="1">
      <c r="A15" s="11" t="s">
        <v>167</v>
      </c>
      <c r="B15" s="54">
        <v>19353.099999999999</v>
      </c>
      <c r="C15" s="54">
        <f>21378830.79/1000</f>
        <v>21378.83079</v>
      </c>
      <c r="D15" s="54">
        <f>21310209.97/1000</f>
        <v>21310.20997</v>
      </c>
      <c r="E15" s="48">
        <f t="shared" si="1"/>
        <v>-68.620820000000094</v>
      </c>
      <c r="F15" s="50">
        <f t="shared" si="2"/>
        <v>0.9967902444865181</v>
      </c>
      <c r="G15" s="48">
        <f t="shared" si="3"/>
        <v>1957.1099700000013</v>
      </c>
      <c r="H15" s="50">
        <f t="shared" si="0"/>
        <v>1.1011264329745623</v>
      </c>
      <c r="I15" s="1"/>
      <c r="J15" s="1"/>
    </row>
    <row r="16" spans="1:10" s="39" customFormat="1" ht="24.95" customHeight="1">
      <c r="A16" s="11" t="s">
        <v>168</v>
      </c>
      <c r="B16" s="54">
        <v>643.70000000000005</v>
      </c>
      <c r="C16" s="54">
        <f>636665/1000</f>
        <v>636.66499999999996</v>
      </c>
      <c r="D16" s="54">
        <f>633215.79/1000</f>
        <v>633.21579000000008</v>
      </c>
      <c r="E16" s="48">
        <f t="shared" si="1"/>
        <v>-3.44920999999988</v>
      </c>
      <c r="F16" s="50">
        <f t="shared" si="2"/>
        <v>0.99458237848790199</v>
      </c>
      <c r="G16" s="48">
        <f t="shared" si="3"/>
        <v>-10.484209999999962</v>
      </c>
      <c r="H16" s="50">
        <f t="shared" si="0"/>
        <v>0.98371258350163127</v>
      </c>
      <c r="I16" s="1"/>
      <c r="J16" s="1"/>
    </row>
    <row r="17" spans="1:10" s="39" customFormat="1" ht="24.95" customHeight="1">
      <c r="A17" s="11" t="s">
        <v>169</v>
      </c>
      <c r="B17" s="54">
        <v>16634.7</v>
      </c>
      <c r="C17" s="54">
        <f>27973367.92/1000</f>
        <v>27973.367920000001</v>
      </c>
      <c r="D17" s="54">
        <f>22426072.66/1000</f>
        <v>22426.072660000002</v>
      </c>
      <c r="E17" s="48">
        <f t="shared" si="1"/>
        <v>-5547.295259999999</v>
      </c>
      <c r="F17" s="50">
        <f t="shared" si="2"/>
        <v>0.80169369394974166</v>
      </c>
      <c r="G17" s="48">
        <f t="shared" si="3"/>
        <v>5791.3726600000009</v>
      </c>
      <c r="H17" s="50">
        <f t="shared" si="0"/>
        <v>1.3481501115138836</v>
      </c>
      <c r="I17" s="1"/>
      <c r="J17" s="1"/>
    </row>
    <row r="18" spans="1:10" s="39" customFormat="1" ht="24.95" customHeight="1">
      <c r="A18" s="11" t="s">
        <v>170</v>
      </c>
      <c r="B18" s="54">
        <v>20089.599999999999</v>
      </c>
      <c r="C18" s="54">
        <f>23426300.18/1000</f>
        <v>23426.300179999998</v>
      </c>
      <c r="D18" s="54">
        <f>22819043.05/1000</f>
        <v>22819.04305</v>
      </c>
      <c r="E18" s="48">
        <f t="shared" si="1"/>
        <v>-607.25712999999814</v>
      </c>
      <c r="F18" s="50">
        <f t="shared" si="2"/>
        <v>0.97407797538091656</v>
      </c>
      <c r="G18" s="48">
        <f t="shared" si="3"/>
        <v>2729.4430500000017</v>
      </c>
      <c r="H18" s="50">
        <f t="shared" si="0"/>
        <v>1.1358634840912711</v>
      </c>
      <c r="I18" s="1"/>
      <c r="J18" s="1"/>
    </row>
    <row r="19" spans="1:10" s="39" customFormat="1" ht="24.95" customHeight="1">
      <c r="A19" s="11" t="s">
        <v>171</v>
      </c>
      <c r="B19" s="54">
        <v>55028.2</v>
      </c>
      <c r="C19" s="54">
        <f>63940093.67/1000</f>
        <v>63940.093670000002</v>
      </c>
      <c r="D19" s="54">
        <f>63921743.62/1000</f>
        <v>63921.743619999994</v>
      </c>
      <c r="E19" s="48">
        <f t="shared" si="1"/>
        <v>-18.350050000008196</v>
      </c>
      <c r="F19" s="50">
        <f t="shared" si="2"/>
        <v>0.99971301183738148</v>
      </c>
      <c r="G19" s="48">
        <f t="shared" si="3"/>
        <v>8893.5436199999967</v>
      </c>
      <c r="H19" s="50">
        <f t="shared" si="0"/>
        <v>1.1616179271718863</v>
      </c>
      <c r="I19" s="1"/>
      <c r="J19" s="1"/>
    </row>
    <row r="20" spans="1:10" s="39" customFormat="1" ht="24.95" customHeight="1">
      <c r="A20" s="11" t="s">
        <v>172</v>
      </c>
      <c r="B20" s="54">
        <v>1154.0999999999999</v>
      </c>
      <c r="C20" s="54">
        <f>1486600/1000</f>
        <v>1486.6</v>
      </c>
      <c r="D20" s="54">
        <f>C20</f>
        <v>1486.6</v>
      </c>
      <c r="E20" s="48">
        <f t="shared" si="1"/>
        <v>0</v>
      </c>
      <c r="F20" s="50">
        <f t="shared" si="2"/>
        <v>1</v>
      </c>
      <c r="G20" s="48">
        <f t="shared" si="3"/>
        <v>332.5</v>
      </c>
      <c r="H20" s="50">
        <f t="shared" si="0"/>
        <v>1.288103283944199</v>
      </c>
      <c r="I20" s="1"/>
      <c r="J20" s="1"/>
    </row>
    <row r="21" spans="1:10" s="39" customFormat="1" ht="24.95" customHeight="1">
      <c r="A21" s="11" t="s">
        <v>173</v>
      </c>
      <c r="B21" s="54">
        <v>161534.79999999999</v>
      </c>
      <c r="C21" s="54">
        <f>151433533.51/1000</f>
        <v>151433.53350999998</v>
      </c>
      <c r="D21" s="54">
        <f>140082163.02/1000</f>
        <v>140082.16302000001</v>
      </c>
      <c r="E21" s="48">
        <f t="shared" si="1"/>
        <v>-11351.370489999972</v>
      </c>
      <c r="F21" s="50">
        <f t="shared" si="2"/>
        <v>0.92504057571072673</v>
      </c>
      <c r="G21" s="48">
        <f t="shared" si="3"/>
        <v>-21452.636979999981</v>
      </c>
      <c r="H21" s="50">
        <f t="shared" si="0"/>
        <v>0.86719495130461066</v>
      </c>
      <c r="I21" s="1"/>
      <c r="J21" s="1"/>
    </row>
    <row r="22" spans="1:10" s="39" customFormat="1" ht="24.95" customHeight="1">
      <c r="A22" s="11" t="s">
        <v>174</v>
      </c>
      <c r="B22" s="54">
        <v>23470.9</v>
      </c>
      <c r="C22" s="54">
        <f>25005663.01/1000</f>
        <v>25005.66301</v>
      </c>
      <c r="D22" s="54">
        <f>24993888.58/1000</f>
        <v>24993.888579999999</v>
      </c>
      <c r="E22" s="48">
        <f t="shared" si="1"/>
        <v>-11.774430000001303</v>
      </c>
      <c r="F22" s="50">
        <f t="shared" si="2"/>
        <v>0.99952912946178263</v>
      </c>
      <c r="G22" s="48">
        <f t="shared" si="3"/>
        <v>1522.9885799999975</v>
      </c>
      <c r="H22" s="50">
        <f t="shared" si="0"/>
        <v>1.0648883758185668</v>
      </c>
      <c r="I22" s="1"/>
      <c r="J22" s="1"/>
    </row>
    <row r="23" spans="1:10" s="39" customFormat="1" ht="24.95" customHeight="1">
      <c r="A23" s="11" t="s">
        <v>175</v>
      </c>
      <c r="B23" s="54">
        <v>751.8</v>
      </c>
      <c r="C23" s="54">
        <f>946400/1000</f>
        <v>946.4</v>
      </c>
      <c r="D23" s="54">
        <f>935103.5/1000</f>
        <v>935.10350000000005</v>
      </c>
      <c r="E23" s="48">
        <f t="shared" si="1"/>
        <v>-11.296499999999924</v>
      </c>
      <c r="F23" s="50">
        <f t="shared" si="2"/>
        <v>0.98806371513102287</v>
      </c>
      <c r="G23" s="48">
        <f t="shared" si="3"/>
        <v>183.3035000000001</v>
      </c>
      <c r="H23" s="50">
        <f t="shared" si="0"/>
        <v>1.243819499866986</v>
      </c>
      <c r="I23" s="1"/>
      <c r="J23" s="1"/>
    </row>
    <row r="24" spans="1:10" s="39" customFormat="1" ht="24.95" customHeight="1">
      <c r="A24" s="11" t="s">
        <v>176</v>
      </c>
      <c r="B24" s="54">
        <v>7710.1</v>
      </c>
      <c r="C24" s="54">
        <f>7507550.92/1000</f>
        <v>7507.5509199999997</v>
      </c>
      <c r="D24" s="54">
        <f>7183980.89/1000</f>
        <v>7183.9808899999998</v>
      </c>
      <c r="E24" s="48">
        <f t="shared" si="1"/>
        <v>-323.57002999999986</v>
      </c>
      <c r="F24" s="50">
        <f t="shared" si="2"/>
        <v>0.95690072122747594</v>
      </c>
      <c r="G24" s="48">
        <f t="shared" si="3"/>
        <v>-526.11911000000055</v>
      </c>
      <c r="H24" s="50">
        <f t="shared" si="0"/>
        <v>0.93176234938587044</v>
      </c>
      <c r="I24" s="1"/>
      <c r="J24" s="1"/>
    </row>
    <row r="25" spans="1:10" s="39" customFormat="1" ht="24.95" customHeight="1">
      <c r="A25" s="11" t="s">
        <v>177</v>
      </c>
      <c r="B25" s="54">
        <v>59828</v>
      </c>
      <c r="C25" s="54">
        <f>111311988.05/1000</f>
        <v>111311.98805</v>
      </c>
      <c r="D25" s="54">
        <f>110457630.46/1000</f>
        <v>110457.63046</v>
      </c>
      <c r="E25" s="48">
        <f t="shared" si="1"/>
        <v>-854.35758999999962</v>
      </c>
      <c r="F25" s="50">
        <f t="shared" si="2"/>
        <v>0.99232465788306434</v>
      </c>
      <c r="G25" s="48">
        <f t="shared" si="3"/>
        <v>50629.63046</v>
      </c>
      <c r="H25" s="50">
        <f t="shared" si="0"/>
        <v>1.8462530998863409</v>
      </c>
      <c r="I25" s="1"/>
      <c r="J25" s="1"/>
    </row>
    <row r="26" spans="1:10" s="39" customFormat="1" ht="24.95" customHeight="1">
      <c r="A26" s="11" t="s">
        <v>178</v>
      </c>
      <c r="B26" s="54">
        <v>28768.400000000001</v>
      </c>
      <c r="C26" s="54">
        <f>35875051.39/1000</f>
        <v>35875.051390000001</v>
      </c>
      <c r="D26" s="54">
        <f>33915833.86/1000</f>
        <v>33915.833859999999</v>
      </c>
      <c r="E26" s="48">
        <f t="shared" si="1"/>
        <v>-1959.2175300000017</v>
      </c>
      <c r="F26" s="50">
        <f t="shared" si="2"/>
        <v>0.94538774289962069</v>
      </c>
      <c r="G26" s="48">
        <f t="shared" si="3"/>
        <v>5147.4338599999974</v>
      </c>
      <c r="H26" s="50">
        <f t="shared" si="0"/>
        <v>1.1789266646737391</v>
      </c>
      <c r="I26" s="1"/>
      <c r="J26" s="1"/>
    </row>
    <row r="27" spans="1:10" s="39" customFormat="1" ht="24.95" customHeight="1">
      <c r="A27" s="11" t="s">
        <v>203</v>
      </c>
      <c r="B27" s="54"/>
      <c r="C27" s="54">
        <f>100000/1000</f>
        <v>100</v>
      </c>
      <c r="D27" s="54">
        <f>C27</f>
        <v>100</v>
      </c>
      <c r="E27" s="48">
        <f>D27-C27</f>
        <v>0</v>
      </c>
      <c r="F27" s="50">
        <f>D27/C27</f>
        <v>1</v>
      </c>
      <c r="G27" s="48"/>
      <c r="H27" s="50"/>
      <c r="I27" s="1"/>
      <c r="J27" s="1"/>
    </row>
    <row r="28" spans="1:10" ht="31.5">
      <c r="A28" s="40" t="s">
        <v>19</v>
      </c>
      <c r="B28" s="49">
        <f>SUM(B10:B27)</f>
        <v>663776.6</v>
      </c>
      <c r="C28" s="49">
        <f>SUM(C10:C27)</f>
        <v>736522.85441000003</v>
      </c>
      <c r="D28" s="49">
        <f>SUM(D10:D27)</f>
        <v>715485.87025000004</v>
      </c>
      <c r="E28" s="49">
        <f>SUM(E10:E27)</f>
        <v>-21036.984159999989</v>
      </c>
      <c r="F28" s="51">
        <f>D28/C28</f>
        <v>0.97143743193569754</v>
      </c>
      <c r="G28" s="49">
        <f>SUM(G10:G27)</f>
        <v>51609.270250000023</v>
      </c>
      <c r="H28" s="51">
        <f t="shared" si="0"/>
        <v>1.0779016166734412</v>
      </c>
    </row>
  </sheetData>
  <mergeCells count="3">
    <mergeCell ref="G7:H7"/>
    <mergeCell ref="A5:H5"/>
    <mergeCell ref="E1:H1"/>
  </mergeCells>
  <phoneticPr fontId="0" type="noConversion"/>
  <pageMargins left="0.98425196850393704" right="0.59055118110236227" top="0.59055118110236227" bottom="0.59055118110236227" header="0.31496062992125984" footer="0.31496062992125984"/>
  <pageSetup paperSize="9" scale="97" orientation="portrait" r:id="rId1"/>
  <ignoredErrors>
    <ignoredError sqref="B28:D28" formulaRange="1"/>
    <ignoredError sqref="F2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V62"/>
  <sheetViews>
    <sheetView tabSelected="1" zoomScaleNormal="100" workbookViewId="0">
      <pane xSplit="2" topLeftCell="C1" activePane="topRight" state="frozen"/>
      <selection pane="topRight" activeCell="C1" sqref="C1"/>
    </sheetView>
  </sheetViews>
  <sheetFormatPr defaultRowHeight="15"/>
  <cols>
    <col min="1" max="1" width="5.28515625" customWidth="1"/>
    <col min="2" max="2" width="27.7109375" customWidth="1"/>
    <col min="3" max="3" width="9.7109375" customWidth="1"/>
    <col min="4" max="4" width="7.28515625" customWidth="1"/>
    <col min="5" max="5" width="9.28515625" customWidth="1"/>
    <col min="6" max="6" width="7.28515625" customWidth="1"/>
    <col min="7" max="7" width="9.28515625" customWidth="1"/>
    <col min="8" max="8" width="7.28515625" customWidth="1"/>
    <col min="9" max="9" width="9.28515625" customWidth="1"/>
    <col min="10" max="10" width="7.28515625" customWidth="1"/>
    <col min="11" max="11" width="9.28515625" customWidth="1"/>
    <col min="12" max="12" width="6.7109375" customWidth="1"/>
    <col min="13" max="13" width="9.28515625" customWidth="1"/>
    <col min="14" max="14" width="7.28515625" customWidth="1"/>
    <col min="15" max="15" width="9.28515625" customWidth="1"/>
    <col min="16" max="16" width="6.7109375" customWidth="1"/>
    <col min="17" max="17" width="9.28515625" customWidth="1"/>
    <col min="18" max="18" width="7.28515625" customWidth="1"/>
    <col min="19" max="19" width="9.28515625" customWidth="1"/>
    <col min="20" max="22" width="10.710937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38" t="s">
        <v>258</v>
      </c>
      <c r="S1" s="138"/>
      <c r="T1" s="1"/>
      <c r="U1" s="1"/>
      <c r="V1" s="1"/>
    </row>
    <row r="2" spans="1:22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2.25" customHeight="1">
      <c r="A3" s="139" t="s">
        <v>224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"/>
      <c r="U3" s="1"/>
      <c r="V3" s="1"/>
    </row>
    <row r="4" spans="1:22" ht="9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3" customFormat="1" ht="20.100000000000001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37" t="s">
        <v>3</v>
      </c>
      <c r="S5" s="137"/>
      <c r="T5" s="2"/>
      <c r="U5" s="2"/>
      <c r="V5" s="2"/>
    </row>
    <row r="6" spans="1:22" s="15" customFormat="1" ht="15.75">
      <c r="A6" s="149" t="s">
        <v>5</v>
      </c>
      <c r="B6" s="149" t="s">
        <v>2</v>
      </c>
      <c r="C6" s="154" t="s">
        <v>1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4"/>
      <c r="U6" s="14"/>
      <c r="V6" s="14"/>
    </row>
    <row r="7" spans="1:22" s="17" customFormat="1" ht="25.5" customHeight="1">
      <c r="A7" s="150"/>
      <c r="B7" s="152"/>
      <c r="C7" s="149" t="s">
        <v>21</v>
      </c>
      <c r="D7" s="156" t="s">
        <v>0</v>
      </c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6"/>
      <c r="U7" s="16"/>
      <c r="V7" s="16"/>
    </row>
    <row r="8" spans="1:22" s="17" customFormat="1" ht="25.5" customHeight="1">
      <c r="A8" s="150"/>
      <c r="B8" s="152"/>
      <c r="C8" s="151"/>
      <c r="D8" s="157" t="s">
        <v>205</v>
      </c>
      <c r="E8" s="146"/>
      <c r="F8" s="145" t="s">
        <v>206</v>
      </c>
      <c r="G8" s="146"/>
      <c r="H8" s="145" t="s">
        <v>207</v>
      </c>
      <c r="I8" s="146"/>
      <c r="J8" s="145" t="s">
        <v>208</v>
      </c>
      <c r="K8" s="146"/>
      <c r="L8" s="145" t="s">
        <v>209</v>
      </c>
      <c r="M8" s="146"/>
      <c r="N8" s="145" t="s">
        <v>210</v>
      </c>
      <c r="O8" s="146"/>
      <c r="P8" s="145" t="s">
        <v>211</v>
      </c>
      <c r="Q8" s="146"/>
      <c r="R8" s="145" t="s">
        <v>212</v>
      </c>
      <c r="S8" s="146"/>
      <c r="T8" s="16"/>
      <c r="U8" s="16"/>
      <c r="V8" s="16"/>
    </row>
    <row r="9" spans="1:22" s="17" customFormat="1" ht="38.25">
      <c r="A9" s="151"/>
      <c r="B9" s="153"/>
      <c r="C9" s="58" t="s">
        <v>204</v>
      </c>
      <c r="D9" s="59" t="s">
        <v>22</v>
      </c>
      <c r="E9" s="18" t="s">
        <v>23</v>
      </c>
      <c r="F9" s="18" t="s">
        <v>22</v>
      </c>
      <c r="G9" s="18" t="s">
        <v>23</v>
      </c>
      <c r="H9" s="18" t="s">
        <v>22</v>
      </c>
      <c r="I9" s="18" t="s">
        <v>23</v>
      </c>
      <c r="J9" s="18" t="s">
        <v>22</v>
      </c>
      <c r="K9" s="18" t="s">
        <v>23</v>
      </c>
      <c r="L9" s="18" t="s">
        <v>22</v>
      </c>
      <c r="M9" s="18" t="s">
        <v>23</v>
      </c>
      <c r="N9" s="18" t="s">
        <v>22</v>
      </c>
      <c r="O9" s="18" t="s">
        <v>23</v>
      </c>
      <c r="P9" s="18" t="s">
        <v>22</v>
      </c>
      <c r="Q9" s="18" t="s">
        <v>23</v>
      </c>
      <c r="R9" s="18" t="s">
        <v>22</v>
      </c>
      <c r="S9" s="18" t="s">
        <v>23</v>
      </c>
      <c r="T9" s="16"/>
      <c r="U9" s="16"/>
      <c r="V9" s="16"/>
    </row>
    <row r="10" spans="1:22" ht="20.100000000000001" customHeight="1">
      <c r="A10" s="147" t="s">
        <v>4</v>
      </c>
      <c r="B10" s="147"/>
      <c r="C10" s="148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"/>
      <c r="U10" s="1"/>
      <c r="V10" s="1"/>
    </row>
    <row r="11" spans="1:22" s="64" customFormat="1" ht="30" customHeight="1">
      <c r="A11" s="61"/>
      <c r="B11" s="61" t="s">
        <v>182</v>
      </c>
      <c r="C11" s="62">
        <v>43070.400000000001</v>
      </c>
      <c r="D11" s="73">
        <f>E11-C11</f>
        <v>0</v>
      </c>
      <c r="E11" s="62">
        <v>43070.400000000001</v>
      </c>
      <c r="F11" s="73">
        <f>G11-E11</f>
        <v>0</v>
      </c>
      <c r="G11" s="62">
        <v>43070.400000000001</v>
      </c>
      <c r="H11" s="73">
        <f>I11-G11</f>
        <v>1677.0999999999985</v>
      </c>
      <c r="I11" s="62">
        <v>44747.5</v>
      </c>
      <c r="J11" s="73">
        <f>K11-I11</f>
        <v>0</v>
      </c>
      <c r="K11" s="62">
        <v>44747.5</v>
      </c>
      <c r="L11" s="73"/>
      <c r="M11" s="62">
        <v>44747.6</v>
      </c>
      <c r="N11" s="73">
        <f>O11-M11</f>
        <v>0</v>
      </c>
      <c r="O11" s="62">
        <v>44747.6</v>
      </c>
      <c r="P11" s="73">
        <f>Q11-O11</f>
        <v>0</v>
      </c>
      <c r="Q11" s="62">
        <v>44747.6</v>
      </c>
      <c r="R11" s="73">
        <f>S11-Q11</f>
        <v>0</v>
      </c>
      <c r="S11" s="62">
        <v>44747.6</v>
      </c>
      <c r="T11" s="63"/>
      <c r="U11" s="63"/>
      <c r="V11" s="63"/>
    </row>
    <row r="12" spans="1:22" s="64" customFormat="1" ht="18" customHeight="1">
      <c r="A12" s="61"/>
      <c r="B12" s="61" t="s">
        <v>34</v>
      </c>
      <c r="C12" s="62">
        <v>657955</v>
      </c>
      <c r="D12" s="73">
        <f>E12-C12</f>
        <v>10471.300000000047</v>
      </c>
      <c r="E12" s="62">
        <v>668426.30000000005</v>
      </c>
      <c r="F12" s="73">
        <f>G12-E12</f>
        <v>-3704</v>
      </c>
      <c r="G12" s="62">
        <v>664722.30000000005</v>
      </c>
      <c r="H12" s="73">
        <f>I12-G12</f>
        <v>-2382.9000000000233</v>
      </c>
      <c r="I12" s="62">
        <v>662339.4</v>
      </c>
      <c r="J12" s="73">
        <f>K12-I12</f>
        <v>0</v>
      </c>
      <c r="K12" s="62">
        <v>662339.4</v>
      </c>
      <c r="L12" s="73">
        <f>M12-K12</f>
        <v>2875.7999999999302</v>
      </c>
      <c r="M12" s="62">
        <v>665215.19999999995</v>
      </c>
      <c r="N12" s="73">
        <f>O12-M12</f>
        <v>2125</v>
      </c>
      <c r="O12" s="62">
        <v>667340.19999999995</v>
      </c>
      <c r="P12" s="73">
        <f>Q12-O12</f>
        <v>5225.2000000000698</v>
      </c>
      <c r="Q12" s="62">
        <v>672565.4</v>
      </c>
      <c r="R12" s="73">
        <f>S12-Q12</f>
        <v>6633</v>
      </c>
      <c r="S12" s="62">
        <v>679198.4</v>
      </c>
      <c r="T12" s="63"/>
      <c r="U12" s="63"/>
      <c r="V12" s="63"/>
    </row>
    <row r="13" spans="1:22" s="69" customFormat="1" ht="18" customHeight="1">
      <c r="A13" s="65"/>
      <c r="B13" s="65" t="s">
        <v>6</v>
      </c>
      <c r="C13" s="66">
        <f t="shared" ref="C13:S13" si="0">C11+C12</f>
        <v>701025.4</v>
      </c>
      <c r="D13" s="74">
        <f t="shared" si="0"/>
        <v>10471.300000000047</v>
      </c>
      <c r="E13" s="66">
        <f t="shared" si="0"/>
        <v>711496.70000000007</v>
      </c>
      <c r="F13" s="74">
        <f t="shared" si="0"/>
        <v>-3704</v>
      </c>
      <c r="G13" s="66">
        <f t="shared" si="0"/>
        <v>707792.70000000007</v>
      </c>
      <c r="H13" s="74">
        <f t="shared" si="0"/>
        <v>-705.80000000002474</v>
      </c>
      <c r="I13" s="66">
        <f t="shared" si="0"/>
        <v>707086.9</v>
      </c>
      <c r="J13" s="74">
        <f t="shared" si="0"/>
        <v>0</v>
      </c>
      <c r="K13" s="66">
        <f t="shared" si="0"/>
        <v>707086.9</v>
      </c>
      <c r="L13" s="74">
        <f t="shared" ref="L13:R13" si="1">L11+L12</f>
        <v>2875.7999999999302</v>
      </c>
      <c r="M13" s="66">
        <f t="shared" si="1"/>
        <v>709962.79999999993</v>
      </c>
      <c r="N13" s="74">
        <f t="shared" si="1"/>
        <v>2125</v>
      </c>
      <c r="O13" s="66">
        <f t="shared" si="1"/>
        <v>712087.79999999993</v>
      </c>
      <c r="P13" s="74">
        <f t="shared" si="1"/>
        <v>5225.2000000000698</v>
      </c>
      <c r="Q13" s="66">
        <f t="shared" si="1"/>
        <v>717313</v>
      </c>
      <c r="R13" s="74">
        <f t="shared" si="1"/>
        <v>6633</v>
      </c>
      <c r="S13" s="66">
        <f t="shared" si="0"/>
        <v>723946</v>
      </c>
      <c r="T13" s="67"/>
      <c r="U13" s="68"/>
      <c r="V13" s="67"/>
    </row>
    <row r="14" spans="1:22" ht="19.5" customHeight="1">
      <c r="A14" s="147" t="s">
        <v>7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"/>
      <c r="U14" s="1"/>
      <c r="V14" s="1"/>
    </row>
    <row r="15" spans="1:22" s="64" customFormat="1" ht="30" customHeight="1">
      <c r="A15" s="70" t="s">
        <v>8</v>
      </c>
      <c r="B15" s="61" t="s">
        <v>24</v>
      </c>
      <c r="C15" s="62">
        <f ca="1">'Таблица 3'!D9</f>
        <v>44641.7</v>
      </c>
      <c r="D15" s="75">
        <v>2308.1</v>
      </c>
      <c r="E15" s="62">
        <f t="shared" ref="E15:K25" si="2">C15+D15</f>
        <v>46949.799999999996</v>
      </c>
      <c r="F15" s="73">
        <v>-104</v>
      </c>
      <c r="G15" s="62">
        <f t="shared" si="2"/>
        <v>46845.799999999996</v>
      </c>
      <c r="H15" s="75">
        <v>-89.3</v>
      </c>
      <c r="I15" s="62">
        <f t="shared" si="2"/>
        <v>46756.499999999993</v>
      </c>
      <c r="J15" s="73">
        <v>-1984.7</v>
      </c>
      <c r="K15" s="71">
        <f t="shared" si="2"/>
        <v>44771.799999999996</v>
      </c>
      <c r="L15" s="73">
        <v>-128.5</v>
      </c>
      <c r="M15" s="71">
        <f t="shared" ref="M15:M25" si="3">K15+L15</f>
        <v>44643.299999999996</v>
      </c>
      <c r="N15" s="73">
        <v>26.4</v>
      </c>
      <c r="O15" s="71">
        <f>M15+N15</f>
        <v>44669.7</v>
      </c>
      <c r="P15" s="73">
        <v>2.8</v>
      </c>
      <c r="Q15" s="71">
        <f>O15+P15</f>
        <v>44672.5</v>
      </c>
      <c r="R15" s="73">
        <v>-970.9</v>
      </c>
      <c r="S15" s="71">
        <f>Q15+R15</f>
        <v>43701.599999999999</v>
      </c>
      <c r="T15" s="63"/>
      <c r="U15" s="63"/>
      <c r="V15" s="63"/>
    </row>
    <row r="16" spans="1:22" s="64" customFormat="1" ht="18" customHeight="1">
      <c r="A16" s="70" t="s">
        <v>9</v>
      </c>
      <c r="B16" s="61" t="s">
        <v>25</v>
      </c>
      <c r="C16" s="62">
        <f ca="1">'Таблица 3'!D19</f>
        <v>806</v>
      </c>
      <c r="D16" s="75">
        <v>26</v>
      </c>
      <c r="E16" s="62">
        <f t="shared" si="2"/>
        <v>832</v>
      </c>
      <c r="F16" s="73"/>
      <c r="G16" s="62">
        <f t="shared" si="2"/>
        <v>832</v>
      </c>
      <c r="H16" s="75">
        <v>-77.400000000000006</v>
      </c>
      <c r="I16" s="62">
        <f t="shared" si="2"/>
        <v>754.6</v>
      </c>
      <c r="J16" s="73"/>
      <c r="K16" s="62">
        <f t="shared" si="2"/>
        <v>754.6</v>
      </c>
      <c r="L16" s="73"/>
      <c r="M16" s="62">
        <f t="shared" si="3"/>
        <v>754.6</v>
      </c>
      <c r="N16" s="73">
        <v>-19.100000000000001</v>
      </c>
      <c r="O16" s="71">
        <f t="shared" ref="O16:Q25" si="4">M16+N16</f>
        <v>735.5</v>
      </c>
      <c r="P16" s="73"/>
      <c r="Q16" s="71">
        <f t="shared" si="4"/>
        <v>735.5</v>
      </c>
      <c r="R16" s="73">
        <v>77.400000000000006</v>
      </c>
      <c r="S16" s="71">
        <f t="shared" ref="S16:S25" si="5">Q16+R16</f>
        <v>812.9</v>
      </c>
      <c r="T16" s="63"/>
      <c r="U16" s="63"/>
      <c r="V16" s="63"/>
    </row>
    <row r="17" spans="1:22" s="64" customFormat="1" ht="45" customHeight="1">
      <c r="A17" s="70" t="s">
        <v>10</v>
      </c>
      <c r="B17" s="61" t="s">
        <v>181</v>
      </c>
      <c r="C17" s="62">
        <f ca="1">'Таблица 3'!D22</f>
        <v>1280</v>
      </c>
      <c r="D17" s="75"/>
      <c r="E17" s="62">
        <f t="shared" si="2"/>
        <v>1280</v>
      </c>
      <c r="F17" s="73"/>
      <c r="G17" s="62">
        <f t="shared" si="2"/>
        <v>1280</v>
      </c>
      <c r="H17" s="75"/>
      <c r="I17" s="62">
        <f t="shared" si="2"/>
        <v>1280</v>
      </c>
      <c r="J17" s="73"/>
      <c r="K17" s="62">
        <f t="shared" si="2"/>
        <v>1280</v>
      </c>
      <c r="L17" s="73">
        <v>-120</v>
      </c>
      <c r="M17" s="62">
        <f t="shared" si="3"/>
        <v>1160</v>
      </c>
      <c r="N17" s="73">
        <v>80.7</v>
      </c>
      <c r="O17" s="71">
        <f t="shared" si="4"/>
        <v>1240.7</v>
      </c>
      <c r="P17" s="73"/>
      <c r="Q17" s="71">
        <f t="shared" si="4"/>
        <v>1240.7</v>
      </c>
      <c r="R17" s="73"/>
      <c r="S17" s="71">
        <f t="shared" si="5"/>
        <v>1240.7</v>
      </c>
      <c r="T17" s="63"/>
      <c r="U17" s="63"/>
      <c r="V17" s="63"/>
    </row>
    <row r="18" spans="1:22" s="64" customFormat="1" ht="18" customHeight="1">
      <c r="A18" s="70" t="s">
        <v>11</v>
      </c>
      <c r="B18" s="61" t="s">
        <v>26</v>
      </c>
      <c r="C18" s="62">
        <f ca="1">'Таблица 3'!D25</f>
        <v>27566.999999999996</v>
      </c>
      <c r="D18" s="75">
        <v>601.1</v>
      </c>
      <c r="E18" s="62">
        <f t="shared" si="2"/>
        <v>28168.099999999995</v>
      </c>
      <c r="F18" s="73"/>
      <c r="G18" s="62">
        <f t="shared" si="2"/>
        <v>28168.099999999995</v>
      </c>
      <c r="H18" s="75"/>
      <c r="I18" s="62">
        <f t="shared" si="2"/>
        <v>28168.099999999995</v>
      </c>
      <c r="J18" s="73"/>
      <c r="K18" s="62">
        <f t="shared" si="2"/>
        <v>28168.099999999995</v>
      </c>
      <c r="L18" s="73"/>
      <c r="M18" s="62">
        <f t="shared" si="3"/>
        <v>28168.099999999995</v>
      </c>
      <c r="N18" s="73">
        <v>-65</v>
      </c>
      <c r="O18" s="71">
        <f>M18+N18+0.1</f>
        <v>28103.199999999993</v>
      </c>
      <c r="P18" s="73"/>
      <c r="Q18" s="71">
        <f t="shared" si="4"/>
        <v>28103.199999999993</v>
      </c>
      <c r="R18" s="73"/>
      <c r="S18" s="71">
        <f t="shared" si="5"/>
        <v>28103.199999999993</v>
      </c>
      <c r="T18" s="63"/>
      <c r="U18" s="63"/>
      <c r="V18" s="63"/>
    </row>
    <row r="19" spans="1:22" s="64" customFormat="1" ht="30" customHeight="1">
      <c r="A19" s="70" t="s">
        <v>12</v>
      </c>
      <c r="B19" s="61" t="s">
        <v>27</v>
      </c>
      <c r="C19" s="62">
        <f ca="1">'Таблица 3'!D34</f>
        <v>143628.9</v>
      </c>
      <c r="D19" s="75">
        <v>314.89999999999998</v>
      </c>
      <c r="E19" s="62">
        <f t="shared" si="2"/>
        <v>143943.79999999999</v>
      </c>
      <c r="F19" s="73">
        <v>-3600</v>
      </c>
      <c r="G19" s="62">
        <f t="shared" si="2"/>
        <v>140343.79999999999</v>
      </c>
      <c r="H19" s="75">
        <v>1015.3</v>
      </c>
      <c r="I19" s="62">
        <f t="shared" si="2"/>
        <v>141359.09999999998</v>
      </c>
      <c r="J19" s="73">
        <v>1156.5</v>
      </c>
      <c r="K19" s="62">
        <f t="shared" si="2"/>
        <v>142515.59999999998</v>
      </c>
      <c r="L19" s="73">
        <v>3886</v>
      </c>
      <c r="M19" s="62">
        <f t="shared" si="3"/>
        <v>146401.59999999998</v>
      </c>
      <c r="N19" s="73">
        <v>1897.9</v>
      </c>
      <c r="O19" s="71">
        <f t="shared" si="4"/>
        <v>148299.49999999997</v>
      </c>
      <c r="P19" s="73">
        <v>4540.3999999999996</v>
      </c>
      <c r="Q19" s="71">
        <f t="shared" si="4"/>
        <v>152839.89999999997</v>
      </c>
      <c r="R19" s="73">
        <v>4452.3</v>
      </c>
      <c r="S19" s="71">
        <f t="shared" si="5"/>
        <v>157292.19999999995</v>
      </c>
      <c r="T19" s="63"/>
      <c r="U19" s="63"/>
      <c r="V19" s="63"/>
    </row>
    <row r="20" spans="1:22" s="64" customFormat="1" ht="18" customHeight="1">
      <c r="A20" s="70" t="s">
        <v>13</v>
      </c>
      <c r="B20" s="61" t="s">
        <v>28</v>
      </c>
      <c r="C20" s="62">
        <f ca="1">'Таблица 3'!D38</f>
        <v>203</v>
      </c>
      <c r="D20" s="75"/>
      <c r="E20" s="62">
        <f t="shared" si="2"/>
        <v>203</v>
      </c>
      <c r="F20" s="73"/>
      <c r="G20" s="62">
        <f t="shared" si="2"/>
        <v>203</v>
      </c>
      <c r="H20" s="75">
        <v>-100</v>
      </c>
      <c r="I20" s="62">
        <f t="shared" si="2"/>
        <v>103</v>
      </c>
      <c r="J20" s="73"/>
      <c r="K20" s="62">
        <f t="shared" si="2"/>
        <v>103</v>
      </c>
      <c r="L20" s="73"/>
      <c r="M20" s="62">
        <f t="shared" si="3"/>
        <v>103</v>
      </c>
      <c r="N20" s="73"/>
      <c r="O20" s="71">
        <f t="shared" si="4"/>
        <v>103</v>
      </c>
      <c r="P20" s="73"/>
      <c r="Q20" s="71">
        <f t="shared" si="4"/>
        <v>103</v>
      </c>
      <c r="R20" s="73"/>
      <c r="S20" s="71">
        <f t="shared" si="5"/>
        <v>103</v>
      </c>
      <c r="T20" s="63"/>
      <c r="U20" s="63"/>
      <c r="V20" s="63"/>
    </row>
    <row r="21" spans="1:22" s="64" customFormat="1" ht="18" customHeight="1">
      <c r="A21" s="70" t="s">
        <v>14</v>
      </c>
      <c r="B21" s="61" t="s">
        <v>29</v>
      </c>
      <c r="C21" s="62">
        <f ca="1">'Таблица 3'!D40</f>
        <v>315808.2</v>
      </c>
      <c r="D21" s="75">
        <v>5176.3999999999996</v>
      </c>
      <c r="E21" s="62">
        <f t="shared" si="2"/>
        <v>320984.60000000003</v>
      </c>
      <c r="F21" s="73"/>
      <c r="G21" s="62">
        <f t="shared" si="2"/>
        <v>320984.60000000003</v>
      </c>
      <c r="H21" s="75">
        <v>-1585.4</v>
      </c>
      <c r="I21" s="71">
        <f t="shared" si="2"/>
        <v>319399.2</v>
      </c>
      <c r="J21" s="73"/>
      <c r="K21" s="71">
        <f t="shared" si="2"/>
        <v>319399.2</v>
      </c>
      <c r="L21" s="73">
        <v>-97.5</v>
      </c>
      <c r="M21" s="71">
        <f t="shared" si="3"/>
        <v>319301.7</v>
      </c>
      <c r="N21" s="73">
        <v>1985</v>
      </c>
      <c r="O21" s="71">
        <f t="shared" si="4"/>
        <v>321286.7</v>
      </c>
      <c r="P21" s="73">
        <v>1061.9000000000001</v>
      </c>
      <c r="Q21" s="71">
        <f t="shared" si="4"/>
        <v>322348.60000000003</v>
      </c>
      <c r="R21" s="73">
        <v>2927.8</v>
      </c>
      <c r="S21" s="71">
        <f t="shared" si="5"/>
        <v>325276.40000000002</v>
      </c>
      <c r="T21" s="63"/>
      <c r="U21" s="63"/>
      <c r="V21" s="63"/>
    </row>
    <row r="22" spans="1:22" s="64" customFormat="1" ht="18" customHeight="1">
      <c r="A22" s="70" t="s">
        <v>15</v>
      </c>
      <c r="B22" s="61" t="s">
        <v>31</v>
      </c>
      <c r="C22" s="62">
        <f ca="1">'Таблица 3'!D46</f>
        <v>17965.2</v>
      </c>
      <c r="D22" s="75">
        <v>3570</v>
      </c>
      <c r="E22" s="62">
        <f>C22+D22+0.1</f>
        <v>21535.3</v>
      </c>
      <c r="F22" s="73"/>
      <c r="G22" s="62">
        <f t="shared" si="2"/>
        <v>21535.3</v>
      </c>
      <c r="H22" s="75">
        <v>-16</v>
      </c>
      <c r="I22" s="62">
        <f t="shared" si="2"/>
        <v>21519.3</v>
      </c>
      <c r="J22" s="73"/>
      <c r="K22" s="62">
        <f t="shared" si="2"/>
        <v>21519.3</v>
      </c>
      <c r="L22" s="73"/>
      <c r="M22" s="62">
        <f t="shared" si="3"/>
        <v>21519.3</v>
      </c>
      <c r="N22" s="73">
        <v>-200</v>
      </c>
      <c r="O22" s="71">
        <f t="shared" si="4"/>
        <v>21319.3</v>
      </c>
      <c r="P22" s="73"/>
      <c r="Q22" s="71">
        <f t="shared" si="4"/>
        <v>21319.3</v>
      </c>
      <c r="R22" s="73">
        <v>213.5</v>
      </c>
      <c r="S22" s="71">
        <f t="shared" si="5"/>
        <v>21532.799999999999</v>
      </c>
      <c r="T22" s="63"/>
      <c r="U22" s="63"/>
      <c r="V22" s="63"/>
    </row>
    <row r="23" spans="1:22" s="64" customFormat="1" ht="18" customHeight="1">
      <c r="A23" s="70" t="s">
        <v>16</v>
      </c>
      <c r="B23" s="61" t="s">
        <v>30</v>
      </c>
      <c r="C23" s="62">
        <f ca="1">'Таблица 3'!D48</f>
        <v>58217.200000000004</v>
      </c>
      <c r="D23" s="75">
        <v>304.5</v>
      </c>
      <c r="E23" s="62">
        <f t="shared" si="2"/>
        <v>58521.700000000004</v>
      </c>
      <c r="F23" s="73"/>
      <c r="G23" s="62">
        <f t="shared" si="2"/>
        <v>58521.700000000004</v>
      </c>
      <c r="H23" s="75">
        <v>809</v>
      </c>
      <c r="I23" s="62">
        <f t="shared" si="2"/>
        <v>59330.700000000004</v>
      </c>
      <c r="J23" s="73"/>
      <c r="K23" s="62">
        <f t="shared" si="2"/>
        <v>59330.700000000004</v>
      </c>
      <c r="L23" s="73">
        <v>13.5</v>
      </c>
      <c r="M23" s="62">
        <f t="shared" si="3"/>
        <v>59344.200000000004</v>
      </c>
      <c r="N23" s="73"/>
      <c r="O23" s="71">
        <f t="shared" si="4"/>
        <v>59344.200000000004</v>
      </c>
      <c r="P23" s="73"/>
      <c r="Q23" s="71">
        <f t="shared" si="4"/>
        <v>59344.200000000004</v>
      </c>
      <c r="R23" s="73">
        <v>-2232</v>
      </c>
      <c r="S23" s="71">
        <f t="shared" si="5"/>
        <v>57112.200000000004</v>
      </c>
      <c r="T23" s="63"/>
      <c r="U23" s="63"/>
      <c r="V23" s="63"/>
    </row>
    <row r="24" spans="1:22" s="64" customFormat="1" ht="18" customHeight="1">
      <c r="A24" s="70" t="s">
        <v>17</v>
      </c>
      <c r="B24" s="61" t="s">
        <v>32</v>
      </c>
      <c r="C24" s="62">
        <f ca="1">'Таблица 3'!D54</f>
        <v>8450.5</v>
      </c>
      <c r="D24" s="75"/>
      <c r="E24" s="62">
        <f t="shared" si="2"/>
        <v>8450.5</v>
      </c>
      <c r="F24" s="73"/>
      <c r="G24" s="62">
        <f t="shared" si="2"/>
        <v>8450.5</v>
      </c>
      <c r="H24" s="75">
        <v>-2400</v>
      </c>
      <c r="I24" s="62">
        <f t="shared" si="2"/>
        <v>6050.5</v>
      </c>
      <c r="J24" s="73"/>
      <c r="K24" s="62">
        <f t="shared" si="2"/>
        <v>6050.5</v>
      </c>
      <c r="L24" s="73">
        <v>-550.9</v>
      </c>
      <c r="M24" s="62">
        <f t="shared" si="3"/>
        <v>5499.6</v>
      </c>
      <c r="N24" s="73">
        <v>-1000</v>
      </c>
      <c r="O24" s="71">
        <f t="shared" si="4"/>
        <v>4499.6000000000004</v>
      </c>
      <c r="P24" s="73">
        <v>-379.9</v>
      </c>
      <c r="Q24" s="71">
        <f t="shared" si="4"/>
        <v>4119.7000000000007</v>
      </c>
      <c r="R24" s="73">
        <v>-544.5</v>
      </c>
      <c r="S24" s="71">
        <f t="shared" si="5"/>
        <v>3575.2000000000007</v>
      </c>
      <c r="T24" s="63"/>
      <c r="U24" s="63"/>
      <c r="V24" s="63"/>
    </row>
    <row r="25" spans="1:22" s="64" customFormat="1" ht="18" customHeight="1">
      <c r="A25" s="70" t="s">
        <v>18</v>
      </c>
      <c r="B25" s="61" t="s">
        <v>33</v>
      </c>
      <c r="C25" s="62">
        <f ca="1">'Таблица 3'!D57</f>
        <v>84459.299999999988</v>
      </c>
      <c r="D25" s="75">
        <v>3045</v>
      </c>
      <c r="E25" s="62">
        <f t="shared" si="2"/>
        <v>87504.299999999988</v>
      </c>
      <c r="F25" s="73"/>
      <c r="G25" s="62">
        <f t="shared" si="2"/>
        <v>87504.299999999988</v>
      </c>
      <c r="H25" s="75">
        <v>3638.6</v>
      </c>
      <c r="I25" s="62">
        <f t="shared" si="2"/>
        <v>91142.9</v>
      </c>
      <c r="J25" s="73">
        <v>828.2</v>
      </c>
      <c r="K25" s="62">
        <f t="shared" si="2"/>
        <v>91971.099999999991</v>
      </c>
      <c r="L25" s="73">
        <v>-126.8</v>
      </c>
      <c r="M25" s="62">
        <f t="shared" si="3"/>
        <v>91844.299999999988</v>
      </c>
      <c r="N25" s="73">
        <v>719.1</v>
      </c>
      <c r="O25" s="71">
        <f t="shared" si="4"/>
        <v>92563.4</v>
      </c>
      <c r="P25" s="73"/>
      <c r="Q25" s="71">
        <f t="shared" si="4"/>
        <v>92563.4</v>
      </c>
      <c r="R25" s="73">
        <v>5209.3999999999996</v>
      </c>
      <c r="S25" s="71">
        <f t="shared" si="5"/>
        <v>97772.799999999988</v>
      </c>
      <c r="T25" s="63"/>
      <c r="U25" s="63"/>
      <c r="V25" s="63"/>
    </row>
    <row r="26" spans="1:22" s="69" customFormat="1" ht="18" customHeight="1">
      <c r="A26" s="72"/>
      <c r="B26" s="65" t="s">
        <v>19</v>
      </c>
      <c r="C26" s="66">
        <f>SUM(C15:C25)</f>
        <v>703027</v>
      </c>
      <c r="D26" s="74">
        <f>SUM(D15:D25)</f>
        <v>15346</v>
      </c>
      <c r="E26" s="66">
        <f>SUM(E15:E25)-0.1</f>
        <v>718373.00000000012</v>
      </c>
      <c r="F26" s="74">
        <f>SUM(F15:F25)</f>
        <v>-3704</v>
      </c>
      <c r="G26" s="66">
        <f>SUM(G15:G25)-0.1</f>
        <v>714669.00000000012</v>
      </c>
      <c r="H26" s="74">
        <f>SUM(H15:H25)</f>
        <v>1194.7999999999997</v>
      </c>
      <c r="I26" s="66">
        <f>SUM(I15:I25)-0.1</f>
        <v>715863.8</v>
      </c>
      <c r="J26" s="74">
        <f t="shared" ref="J26:P26" si="6">SUM(J15:J25)</f>
        <v>0</v>
      </c>
      <c r="K26" s="66">
        <f>SUM(K15:K25)-0.1</f>
        <v>715863.8</v>
      </c>
      <c r="L26" s="74">
        <f t="shared" si="6"/>
        <v>2875.7999999999997</v>
      </c>
      <c r="M26" s="66">
        <f t="shared" si="6"/>
        <v>718739.7</v>
      </c>
      <c r="N26" s="74">
        <f t="shared" si="6"/>
        <v>3425</v>
      </c>
      <c r="O26" s="66">
        <f>SUM(O15:O25)-0.1</f>
        <v>722164.70000000007</v>
      </c>
      <c r="P26" s="74">
        <f t="shared" si="6"/>
        <v>5225.2000000000007</v>
      </c>
      <c r="Q26" s="66">
        <f>SUM(Q15:Q25)-0.1</f>
        <v>727389.9</v>
      </c>
      <c r="R26" s="74">
        <f>SUM(R15:R25)</f>
        <v>9133</v>
      </c>
      <c r="S26" s="66">
        <f>SUM(S15:S25)-0.1</f>
        <v>736522.9</v>
      </c>
      <c r="T26" s="67"/>
      <c r="U26" s="68"/>
      <c r="V26" s="67"/>
    </row>
    <row r="27" spans="1:22" ht="9.9499999999999993" customHeight="1">
      <c r="A27" s="143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"/>
      <c r="U27" s="1"/>
      <c r="V27" s="1"/>
    </row>
    <row r="28" spans="1:22" s="69" customFormat="1" ht="18" customHeight="1">
      <c r="A28" s="72"/>
      <c r="B28" s="65" t="s">
        <v>20</v>
      </c>
      <c r="C28" s="66">
        <f>C13-C26</f>
        <v>-2001.5999999999767</v>
      </c>
      <c r="D28" s="66"/>
      <c r="E28" s="66">
        <f>E13-E26</f>
        <v>-6876.3000000000466</v>
      </c>
      <c r="F28" s="66"/>
      <c r="G28" s="66">
        <f>G13-G26</f>
        <v>-6876.3000000000466</v>
      </c>
      <c r="H28" s="66"/>
      <c r="I28" s="66">
        <f>I13-I26</f>
        <v>-8776.9000000000233</v>
      </c>
      <c r="J28" s="66"/>
      <c r="K28" s="66">
        <f>K13-K26</f>
        <v>-8776.9000000000233</v>
      </c>
      <c r="L28" s="66"/>
      <c r="M28" s="66">
        <f>M13-M26</f>
        <v>-8776.9000000000233</v>
      </c>
      <c r="N28" s="66"/>
      <c r="O28" s="66">
        <f>O13-O26</f>
        <v>-10076.90000000014</v>
      </c>
      <c r="P28" s="66"/>
      <c r="Q28" s="66">
        <f>Q13-Q26</f>
        <v>-10076.900000000023</v>
      </c>
      <c r="R28" s="66"/>
      <c r="S28" s="66">
        <f>S13-S26</f>
        <v>-12576.900000000023</v>
      </c>
      <c r="T28" s="67"/>
      <c r="U28" s="67"/>
      <c r="V28" s="67"/>
    </row>
    <row r="29" spans="1:22" ht="15.75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>
      <c r="A31" s="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</sheetData>
  <mergeCells count="19">
    <mergeCell ref="R1:S1"/>
    <mergeCell ref="A3:S3"/>
    <mergeCell ref="R5:S5"/>
    <mergeCell ref="A6:A9"/>
    <mergeCell ref="B6:B9"/>
    <mergeCell ref="C6:S6"/>
    <mergeCell ref="C7:C8"/>
    <mergeCell ref="D7:S7"/>
    <mergeCell ref="D8:E8"/>
    <mergeCell ref="F8:G8"/>
    <mergeCell ref="A27:S27"/>
    <mergeCell ref="H8:I8"/>
    <mergeCell ref="J8:K8"/>
    <mergeCell ref="R8:S8"/>
    <mergeCell ref="A10:S10"/>
    <mergeCell ref="A14:S14"/>
    <mergeCell ref="L8:M8"/>
    <mergeCell ref="P8:Q8"/>
    <mergeCell ref="N8:O8"/>
  </mergeCells>
  <phoneticPr fontId="0" type="noConversion"/>
  <pageMargins left="0.39370078740157483" right="0.35433070866141736" top="0.51181102362204722" bottom="0.51181102362204722" header="0.31496062992125984" footer="0.31496062992125984"/>
  <pageSetup paperSize="9" scale="80" orientation="landscape" verticalDpi="0" r:id="rId1"/>
  <ignoredErrors>
    <ignoredError sqref="F26 H26 J26 R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Таблица 1</vt:lpstr>
      <vt:lpstr>Таблица 2</vt:lpstr>
      <vt:lpstr>Таблица 3</vt:lpstr>
      <vt:lpstr>Таблица 4</vt:lpstr>
      <vt:lpstr>Таблица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Довгучиц</dc:creator>
  <cp:lastModifiedBy>Татьяна</cp:lastModifiedBy>
  <cp:lastPrinted>2016-04-27T04:13:35Z</cp:lastPrinted>
  <dcterms:created xsi:type="dcterms:W3CDTF">2013-04-04T03:38:30Z</dcterms:created>
  <dcterms:modified xsi:type="dcterms:W3CDTF">2016-05-23T08:29:07Z</dcterms:modified>
</cp:coreProperties>
</file>